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+xml"/>
  <Override PartName="/xl/pivotTables/pivotTable1.xml" ContentType="application/vnd.openxmlformats-officedocument.spreadsheetml.pivot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2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4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tables/table1.xml" ContentType="application/vnd.openxmlformats-officedocument.spreadsheetml.table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updateLinks="never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emc.procornella.cat\empresa\Centre\PLANES DE VIABILIDAD\PLANTILLAS PLANES DE VIABILIDAD DEFINITIVOS\Plan de Viabilidad\"/>
    </mc:Choice>
  </mc:AlternateContent>
  <xr:revisionPtr revIDLastSave="0" documentId="8_{09592911-3C7D-4097-8C02-4B54E76A101E}" xr6:coauthVersionLast="46" xr6:coauthVersionMax="46" xr10:uidLastSave="{00000000-0000-0000-0000-000000000000}"/>
  <bookViews>
    <workbookView xWindow="-120" yWindow="-120" windowWidth="24240" windowHeight="13140" tabRatio="622" xr2:uid="{00000000-000D-0000-FFFF-FFFF00000000}"/>
  </bookViews>
  <sheets>
    <sheet name="Menú" sheetId="20" r:id="rId1"/>
    <sheet name="Cuestionario" sheetId="1" r:id="rId2"/>
    <sheet name="Estaciones SP" sheetId="58" state="hidden" r:id="rId3"/>
    <sheet name="Inversión-Financiación" sheetId="2" r:id="rId4"/>
    <sheet name="Catálogo" sheetId="3" r:id="rId5"/>
    <sheet name="Personal retribución" sheetId="22" r:id="rId6"/>
    <sheet name="Clientes" sheetId="41" state="hidden" r:id="rId7"/>
    <sheet name="Otros Gastos" sheetId="8" r:id="rId8"/>
    <sheet name="Ventas" sheetId="7" r:id="rId9"/>
    <sheet name="INGRESOS-GASTOS" sheetId="9" state="hidden" r:id="rId10"/>
    <sheet name="Total préstamos" sheetId="33" state="hidden" r:id="rId11"/>
    <sheet name="IRPF-IVA-IS" sheetId="13" state="hidden" r:id="rId12"/>
    <sheet name="Ventas diarias" sheetId="43" r:id="rId13"/>
    <sheet name="Balance" sheetId="10" r:id="rId14"/>
    <sheet name="AMORTIZACIÓN-BALANCE" sheetId="14" r:id="rId15"/>
    <sheet name="Resultado x Actividad" sheetId="18" r:id="rId16"/>
    <sheet name="Resultados" sheetId="12" r:id="rId17"/>
    <sheet name="Resultados mensuales " sheetId="11" r:id="rId18"/>
    <sheet name="Tesorería mensual" sheetId="15" r:id="rId19"/>
    <sheet name="Resumen nuevo proyecto" sheetId="32" r:id="rId20"/>
    <sheet name="Resumen seguimiento" sheetId="56" r:id="rId21"/>
    <sheet name="Plan Empresa" sheetId="19" r:id="rId22"/>
    <sheet name="Valoració" sheetId="38" state="hidden" r:id="rId23"/>
    <sheet name="Ventas por comercial" sheetId="42" state="hidden" r:id="rId24"/>
    <sheet name="Tabla préstamo inicial" sheetId="6" state="hidden" r:id="rId25"/>
    <sheet name="Total préstamo post" sheetId="34" state="hidden" r:id="rId26"/>
    <sheet name="DATOS" sheetId="5" state="hidden" r:id="rId27"/>
    <sheet name="Seguimiento" sheetId="51" r:id="rId28"/>
    <sheet name="Plan de Trabajo" sheetId="44" r:id="rId29"/>
    <sheet name="Buenas y malas prácticas" sheetId="45" r:id="rId30"/>
    <sheet name="Infografia" sheetId="47" r:id="rId31"/>
    <sheet name="Captación clientes" sheetId="48" state="hidden" r:id="rId32"/>
    <sheet name="One Pager" sheetId="49" r:id="rId33"/>
    <sheet name="Funnel" sheetId="50" r:id="rId34"/>
    <sheet name="Itinerario startups" sheetId="59" r:id="rId35"/>
    <sheet name="Comparación de segmentos" sheetId="52" r:id="rId36"/>
    <sheet name="Cuadro de posicionamiento" sheetId="53" state="hidden" r:id="rId37"/>
    <sheet name="Plan de mk" sheetId="54" state="hidden" r:id="rId38"/>
  </sheets>
  <externalReferences>
    <externalReference r:id="rId39"/>
    <externalReference r:id="rId40"/>
  </externalReferences>
  <definedNames>
    <definedName name="_xlnm._FilterDatabase" localSheetId="12" hidden="1">'Ventas diarias'!$A$2:$T$367</definedName>
    <definedName name="_xlnm.Print_Area" localSheetId="4">Catálogo!$A$1:$T$20</definedName>
    <definedName name="_xlnm.Print_Area" localSheetId="6">Clientes!$A$1:$N$4</definedName>
    <definedName name="_xlnm.Print_Area" localSheetId="1">Cuestionario!$A$4:$J$73</definedName>
    <definedName name="_xlnm.Print_Area" localSheetId="33">Funnel!$A$1:$G$45</definedName>
    <definedName name="_xlnm.Print_Area" localSheetId="30">Infografia!$A$1:$K$32</definedName>
    <definedName name="_xlnm.Print_Area" localSheetId="3">'Inversión-Financiación'!$B$2:$R$38</definedName>
    <definedName name="_xlnm.Print_Area" localSheetId="0">Menú!$A$2:$G$16</definedName>
    <definedName name="_xlnm.Print_Area" localSheetId="28">'Plan de Trabajo'!$A$1:$E$23</definedName>
    <definedName name="_xlnm.Print_Area" localSheetId="21">'Plan Empresa'!$A$2:$J$414</definedName>
    <definedName name="_xlnm.Print_Area" localSheetId="15">'Resultado x Actividad'!$A$1:$S$30</definedName>
    <definedName name="_xlnm.Print_Area" localSheetId="16">Resultados!$A$1:$H$29</definedName>
    <definedName name="_xlnm.Print_Area" localSheetId="17">'Resultados mensuales '!$B$1:$AL$41</definedName>
    <definedName name="_xlnm.Print_Area" localSheetId="19">'Resumen nuevo proyecto'!$A$1:$K$135</definedName>
    <definedName name="_xlnm.Print_Area" localSheetId="20">'Resumen seguimiento'!$A$1:$L$152</definedName>
    <definedName name="_xlnm.Print_Area" localSheetId="18">'Tesorería mensual'!$B$1:$N$56</definedName>
    <definedName name="_xlnm.Print_Area" localSheetId="22">Valoració!$A$1:$J$19</definedName>
    <definedName name="_xlnm.Print_Area" localSheetId="8">Ventas!$A$1:$BA$61</definedName>
    <definedName name="_xlnm.Print_Area" localSheetId="12">'Ventas diarias'!$A$1:$T$367</definedName>
    <definedName name="Márqueting" localSheetId="21">'Plan Empresa'!#REF!</definedName>
    <definedName name="Márqueting" localSheetId="19">'Resumen nuevo proyecto'!#REF!</definedName>
    <definedName name="Márqueting" localSheetId="20">'Resumen seguimiento'!#REF!</definedName>
    <definedName name="OLE_LINK2" localSheetId="21">'Plan Empresa'!$A$3</definedName>
    <definedName name="OLE_LINK2" localSheetId="19">'Resumen nuevo proyecto'!#REF!</definedName>
    <definedName name="OLE_LINK2" localSheetId="20">'Resumen seguimiento'!#REF!</definedName>
  </definedNames>
  <calcPr calcId="191029"/>
  <pivotCaches>
    <pivotCache cacheId="0" r:id="rId4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3" i="8" l="1"/>
  <c r="K23" i="8" s="1"/>
  <c r="L23" i="8" s="1"/>
  <c r="M23" i="8" s="1"/>
  <c r="N23" i="8" s="1"/>
  <c r="O23" i="8" s="1"/>
  <c r="P23" i="8" s="1"/>
  <c r="Q23" i="8" s="1"/>
  <c r="R23" i="8" s="1"/>
  <c r="S23" i="8" s="1"/>
  <c r="T23" i="8" s="1"/>
  <c r="U23" i="8" s="1"/>
  <c r="V23" i="8" s="1"/>
  <c r="W23" i="8" s="1"/>
  <c r="X23" i="8" s="1"/>
  <c r="Y23" i="8" s="1"/>
  <c r="Z23" i="8" s="1"/>
  <c r="AA23" i="8" s="1"/>
  <c r="AB23" i="8" s="1"/>
  <c r="AC23" i="8" s="1"/>
  <c r="AD23" i="8" s="1"/>
  <c r="AE23" i="8" s="1"/>
  <c r="AF23" i="8" s="1"/>
  <c r="AG23" i="8" s="1"/>
  <c r="AH23" i="8" s="1"/>
  <c r="AI23" i="8" s="1"/>
  <c r="AJ23" i="8" s="1"/>
  <c r="AK23" i="8" s="1"/>
  <c r="AL23" i="8" s="1"/>
  <c r="AM23" i="8" s="1"/>
  <c r="F23" i="8"/>
  <c r="G23" i="8" s="1"/>
  <c r="H23" i="8" s="1"/>
  <c r="I23" i="8" s="1"/>
  <c r="L22" i="8"/>
  <c r="M22" i="8" s="1"/>
  <c r="N22" i="8" s="1"/>
  <c r="O22" i="8" s="1"/>
  <c r="P22" i="8" s="1"/>
  <c r="Q22" i="8" s="1"/>
  <c r="R22" i="8" s="1"/>
  <c r="S22" i="8" s="1"/>
  <c r="T22" i="8" s="1"/>
  <c r="U22" i="8" s="1"/>
  <c r="V22" i="8" s="1"/>
  <c r="W22" i="8" s="1"/>
  <c r="X22" i="8" s="1"/>
  <c r="Y22" i="8" s="1"/>
  <c r="Z22" i="8" s="1"/>
  <c r="AA22" i="8" s="1"/>
  <c r="AB22" i="8" s="1"/>
  <c r="AC22" i="8" s="1"/>
  <c r="AD22" i="8" s="1"/>
  <c r="AE22" i="8" s="1"/>
  <c r="AF22" i="8" s="1"/>
  <c r="AG22" i="8" s="1"/>
  <c r="AH22" i="8" s="1"/>
  <c r="AI22" i="8" s="1"/>
  <c r="AJ22" i="8" s="1"/>
  <c r="AK22" i="8" s="1"/>
  <c r="AL22" i="8" s="1"/>
  <c r="AM22" i="8" s="1"/>
  <c r="H22" i="8"/>
  <c r="I22" i="8" s="1"/>
  <c r="J22" i="8" s="1"/>
  <c r="K22" i="8" s="1"/>
  <c r="F22" i="8"/>
  <c r="G22" i="8" s="1"/>
  <c r="J21" i="8"/>
  <c r="K21" i="8" s="1"/>
  <c r="L21" i="8" s="1"/>
  <c r="M21" i="8" s="1"/>
  <c r="N21" i="8" s="1"/>
  <c r="O21" i="8" s="1"/>
  <c r="P21" i="8" s="1"/>
  <c r="Q21" i="8" s="1"/>
  <c r="R21" i="8" s="1"/>
  <c r="S21" i="8" s="1"/>
  <c r="T21" i="8" s="1"/>
  <c r="U21" i="8" s="1"/>
  <c r="V21" i="8" s="1"/>
  <c r="W21" i="8" s="1"/>
  <c r="X21" i="8" s="1"/>
  <c r="Y21" i="8" s="1"/>
  <c r="Z21" i="8" s="1"/>
  <c r="AA21" i="8" s="1"/>
  <c r="AB21" i="8" s="1"/>
  <c r="AC21" i="8" s="1"/>
  <c r="AD21" i="8" s="1"/>
  <c r="AE21" i="8" s="1"/>
  <c r="AF21" i="8" s="1"/>
  <c r="AG21" i="8" s="1"/>
  <c r="AH21" i="8" s="1"/>
  <c r="AI21" i="8" s="1"/>
  <c r="AJ21" i="8" s="1"/>
  <c r="AK21" i="8" s="1"/>
  <c r="AL21" i="8" s="1"/>
  <c r="AM21" i="8" s="1"/>
  <c r="F21" i="8"/>
  <c r="G21" i="8" s="1"/>
  <c r="H21" i="8" s="1"/>
  <c r="I21" i="8" s="1"/>
  <c r="L20" i="8"/>
  <c r="M20" i="8" s="1"/>
  <c r="N20" i="8" s="1"/>
  <c r="O20" i="8" s="1"/>
  <c r="P20" i="8" s="1"/>
  <c r="Q20" i="8" s="1"/>
  <c r="R20" i="8" s="1"/>
  <c r="S20" i="8" s="1"/>
  <c r="T20" i="8" s="1"/>
  <c r="U20" i="8" s="1"/>
  <c r="V20" i="8" s="1"/>
  <c r="W20" i="8" s="1"/>
  <c r="X20" i="8" s="1"/>
  <c r="Y20" i="8" s="1"/>
  <c r="Z20" i="8" s="1"/>
  <c r="AA20" i="8" s="1"/>
  <c r="AB20" i="8" s="1"/>
  <c r="AC20" i="8" s="1"/>
  <c r="AD20" i="8" s="1"/>
  <c r="AE20" i="8" s="1"/>
  <c r="AF20" i="8" s="1"/>
  <c r="AG20" i="8" s="1"/>
  <c r="AH20" i="8" s="1"/>
  <c r="AI20" i="8" s="1"/>
  <c r="AJ20" i="8" s="1"/>
  <c r="AK20" i="8" s="1"/>
  <c r="AL20" i="8" s="1"/>
  <c r="AM20" i="8" s="1"/>
  <c r="H20" i="8"/>
  <c r="I20" i="8" s="1"/>
  <c r="J20" i="8" s="1"/>
  <c r="K20" i="8" s="1"/>
  <c r="F20" i="8"/>
  <c r="G20" i="8" s="1"/>
  <c r="J19" i="8"/>
  <c r="K19" i="8" s="1"/>
  <c r="L19" i="8" s="1"/>
  <c r="M19" i="8" s="1"/>
  <c r="N19" i="8" s="1"/>
  <c r="O19" i="8" s="1"/>
  <c r="P19" i="8" s="1"/>
  <c r="Q19" i="8" s="1"/>
  <c r="R19" i="8" s="1"/>
  <c r="S19" i="8" s="1"/>
  <c r="T19" i="8" s="1"/>
  <c r="U19" i="8" s="1"/>
  <c r="V19" i="8" s="1"/>
  <c r="W19" i="8" s="1"/>
  <c r="X19" i="8" s="1"/>
  <c r="Y19" i="8" s="1"/>
  <c r="Z19" i="8" s="1"/>
  <c r="AA19" i="8" s="1"/>
  <c r="AB19" i="8" s="1"/>
  <c r="AC19" i="8" s="1"/>
  <c r="AD19" i="8" s="1"/>
  <c r="AE19" i="8" s="1"/>
  <c r="AF19" i="8" s="1"/>
  <c r="AG19" i="8" s="1"/>
  <c r="AH19" i="8" s="1"/>
  <c r="AI19" i="8" s="1"/>
  <c r="AJ19" i="8" s="1"/>
  <c r="AK19" i="8" s="1"/>
  <c r="AL19" i="8" s="1"/>
  <c r="AM19" i="8" s="1"/>
  <c r="F19" i="8"/>
  <c r="G19" i="8" s="1"/>
  <c r="H19" i="8" s="1"/>
  <c r="I19" i="8" s="1"/>
  <c r="F18" i="8"/>
  <c r="G18" i="8" s="1"/>
  <c r="H18" i="8" s="1"/>
  <c r="I18" i="8" s="1"/>
  <c r="J18" i="8" s="1"/>
  <c r="K18" i="8" s="1"/>
  <c r="L18" i="8" s="1"/>
  <c r="M18" i="8" s="1"/>
  <c r="N18" i="8" s="1"/>
  <c r="O18" i="8" s="1"/>
  <c r="P18" i="8" s="1"/>
  <c r="Q18" i="8" s="1"/>
  <c r="R18" i="8" s="1"/>
  <c r="S18" i="8" s="1"/>
  <c r="T18" i="8" s="1"/>
  <c r="U18" i="8" s="1"/>
  <c r="V18" i="8" s="1"/>
  <c r="W18" i="8" s="1"/>
  <c r="X18" i="8" s="1"/>
  <c r="Y18" i="8" s="1"/>
  <c r="Z18" i="8" s="1"/>
  <c r="AA18" i="8" s="1"/>
  <c r="AB18" i="8" s="1"/>
  <c r="AC18" i="8" s="1"/>
  <c r="AD18" i="8" s="1"/>
  <c r="AE18" i="8" s="1"/>
  <c r="AF18" i="8" s="1"/>
  <c r="AG18" i="8" s="1"/>
  <c r="AH18" i="8" s="1"/>
  <c r="AI18" i="8" s="1"/>
  <c r="AJ18" i="8" s="1"/>
  <c r="AK18" i="8" s="1"/>
  <c r="AL18" i="8" s="1"/>
  <c r="AM18" i="8" s="1"/>
  <c r="H17" i="8"/>
  <c r="I17" i="8" s="1"/>
  <c r="J17" i="8" s="1"/>
  <c r="K17" i="8" s="1"/>
  <c r="L17" i="8" s="1"/>
  <c r="M17" i="8" s="1"/>
  <c r="N17" i="8" s="1"/>
  <c r="O17" i="8" s="1"/>
  <c r="P17" i="8" s="1"/>
  <c r="Q17" i="8" s="1"/>
  <c r="R17" i="8" s="1"/>
  <c r="S17" i="8" s="1"/>
  <c r="T17" i="8" s="1"/>
  <c r="U17" i="8" s="1"/>
  <c r="V17" i="8" s="1"/>
  <c r="W17" i="8" s="1"/>
  <c r="X17" i="8" s="1"/>
  <c r="Y17" i="8" s="1"/>
  <c r="Z17" i="8" s="1"/>
  <c r="AA17" i="8" s="1"/>
  <c r="AB17" i="8" s="1"/>
  <c r="AC17" i="8" s="1"/>
  <c r="AD17" i="8" s="1"/>
  <c r="AE17" i="8" s="1"/>
  <c r="AF17" i="8" s="1"/>
  <c r="AG17" i="8" s="1"/>
  <c r="AH17" i="8" s="1"/>
  <c r="AI17" i="8" s="1"/>
  <c r="AJ17" i="8" s="1"/>
  <c r="AK17" i="8" s="1"/>
  <c r="AL17" i="8" s="1"/>
  <c r="AM17" i="8" s="1"/>
  <c r="F17" i="8"/>
  <c r="G17" i="8" s="1"/>
  <c r="F16" i="8"/>
  <c r="G16" i="8" s="1"/>
  <c r="H16" i="8" s="1"/>
  <c r="I16" i="8" s="1"/>
  <c r="J16" i="8" s="1"/>
  <c r="K16" i="8" s="1"/>
  <c r="L16" i="8" s="1"/>
  <c r="M16" i="8" s="1"/>
  <c r="N16" i="8" s="1"/>
  <c r="O16" i="8" s="1"/>
  <c r="P16" i="8" s="1"/>
  <c r="Q16" i="8" s="1"/>
  <c r="R16" i="8" s="1"/>
  <c r="S16" i="8" s="1"/>
  <c r="T16" i="8" s="1"/>
  <c r="U16" i="8" s="1"/>
  <c r="V16" i="8" s="1"/>
  <c r="W16" i="8" s="1"/>
  <c r="X16" i="8" s="1"/>
  <c r="Y16" i="8" s="1"/>
  <c r="Z16" i="8" s="1"/>
  <c r="AA16" i="8" s="1"/>
  <c r="AB16" i="8" s="1"/>
  <c r="AC16" i="8" s="1"/>
  <c r="AD16" i="8" s="1"/>
  <c r="AE16" i="8" s="1"/>
  <c r="AF16" i="8" s="1"/>
  <c r="AG16" i="8" s="1"/>
  <c r="AH16" i="8" s="1"/>
  <c r="AI16" i="8" s="1"/>
  <c r="AJ16" i="8" s="1"/>
  <c r="AK16" i="8" s="1"/>
  <c r="AL16" i="8" s="1"/>
  <c r="AM16" i="8" s="1"/>
  <c r="F15" i="8"/>
  <c r="G15" i="8" s="1"/>
  <c r="H15" i="8" s="1"/>
  <c r="I15" i="8" s="1"/>
  <c r="J15" i="8" s="1"/>
  <c r="K15" i="8" s="1"/>
  <c r="L15" i="8" s="1"/>
  <c r="M15" i="8" s="1"/>
  <c r="N15" i="8" s="1"/>
  <c r="O15" i="8" s="1"/>
  <c r="P15" i="8" s="1"/>
  <c r="Q15" i="8" s="1"/>
  <c r="R15" i="8" s="1"/>
  <c r="S15" i="8" s="1"/>
  <c r="T15" i="8" s="1"/>
  <c r="U15" i="8" s="1"/>
  <c r="V15" i="8" s="1"/>
  <c r="W15" i="8" s="1"/>
  <c r="X15" i="8" s="1"/>
  <c r="Y15" i="8" s="1"/>
  <c r="Z15" i="8" s="1"/>
  <c r="AA15" i="8" s="1"/>
  <c r="AB15" i="8" s="1"/>
  <c r="AC15" i="8" s="1"/>
  <c r="AD15" i="8" s="1"/>
  <c r="AE15" i="8" s="1"/>
  <c r="AF15" i="8" s="1"/>
  <c r="AG15" i="8" s="1"/>
  <c r="AH15" i="8" s="1"/>
  <c r="AI15" i="8" s="1"/>
  <c r="AJ15" i="8" s="1"/>
  <c r="AK15" i="8" s="1"/>
  <c r="AL15" i="8" s="1"/>
  <c r="AM15" i="8" s="1"/>
  <c r="F14" i="8"/>
  <c r="G14" i="8" s="1"/>
  <c r="H14" i="8" s="1"/>
  <c r="I14" i="8" s="1"/>
  <c r="J14" i="8" s="1"/>
  <c r="K14" i="8" s="1"/>
  <c r="L14" i="8" s="1"/>
  <c r="M14" i="8" s="1"/>
  <c r="N14" i="8" s="1"/>
  <c r="O14" i="8" s="1"/>
  <c r="P14" i="8" s="1"/>
  <c r="Q14" i="8" s="1"/>
  <c r="R14" i="8" s="1"/>
  <c r="S14" i="8" s="1"/>
  <c r="T14" i="8" s="1"/>
  <c r="U14" i="8" s="1"/>
  <c r="V14" i="8" s="1"/>
  <c r="W14" i="8" s="1"/>
  <c r="X14" i="8" s="1"/>
  <c r="Y14" i="8" s="1"/>
  <c r="Z14" i="8" s="1"/>
  <c r="AA14" i="8" s="1"/>
  <c r="AB14" i="8" s="1"/>
  <c r="AC14" i="8" s="1"/>
  <c r="AD14" i="8" s="1"/>
  <c r="AE14" i="8" s="1"/>
  <c r="AF14" i="8" s="1"/>
  <c r="AG14" i="8" s="1"/>
  <c r="AH14" i="8" s="1"/>
  <c r="AI14" i="8" s="1"/>
  <c r="AJ14" i="8" s="1"/>
  <c r="AK14" i="8" s="1"/>
  <c r="AL14" i="8" s="1"/>
  <c r="AM14" i="8" s="1"/>
  <c r="H13" i="8"/>
  <c r="I13" i="8" s="1"/>
  <c r="J13" i="8" s="1"/>
  <c r="K13" i="8" s="1"/>
  <c r="L13" i="8" s="1"/>
  <c r="M13" i="8" s="1"/>
  <c r="N13" i="8" s="1"/>
  <c r="O13" i="8" s="1"/>
  <c r="P13" i="8" s="1"/>
  <c r="Q13" i="8" s="1"/>
  <c r="R13" i="8" s="1"/>
  <c r="S13" i="8" s="1"/>
  <c r="T13" i="8" s="1"/>
  <c r="U13" i="8" s="1"/>
  <c r="V13" i="8" s="1"/>
  <c r="W13" i="8" s="1"/>
  <c r="X13" i="8" s="1"/>
  <c r="Y13" i="8" s="1"/>
  <c r="Z13" i="8" s="1"/>
  <c r="AA13" i="8" s="1"/>
  <c r="AB13" i="8" s="1"/>
  <c r="AC13" i="8" s="1"/>
  <c r="AD13" i="8" s="1"/>
  <c r="AE13" i="8" s="1"/>
  <c r="AF13" i="8" s="1"/>
  <c r="AG13" i="8" s="1"/>
  <c r="AH13" i="8" s="1"/>
  <c r="AI13" i="8" s="1"/>
  <c r="AJ13" i="8" s="1"/>
  <c r="AK13" i="8" s="1"/>
  <c r="AL13" i="8" s="1"/>
  <c r="AM13" i="8" s="1"/>
  <c r="F13" i="8"/>
  <c r="G13" i="8" s="1"/>
  <c r="E23" i="8"/>
  <c r="E22" i="8"/>
  <c r="E21" i="8"/>
  <c r="E20" i="8"/>
  <c r="E19" i="8"/>
  <c r="E18" i="8"/>
  <c r="E17" i="8"/>
  <c r="E16" i="8"/>
  <c r="E15" i="8"/>
  <c r="E14" i="8"/>
  <c r="V5" i="22"/>
  <c r="T5" i="22"/>
  <c r="C16" i="22"/>
  <c r="D16" i="22"/>
  <c r="E16" i="22"/>
  <c r="C17" i="22"/>
  <c r="D17" i="22"/>
  <c r="E17" i="22"/>
  <c r="C18" i="22"/>
  <c r="D18" i="22"/>
  <c r="E18" i="22"/>
  <c r="C19" i="22"/>
  <c r="D19" i="22"/>
  <c r="E19" i="22"/>
  <c r="C20" i="22"/>
  <c r="D20" i="22"/>
  <c r="E20" i="22"/>
  <c r="C21" i="22"/>
  <c r="D21" i="22"/>
  <c r="E21" i="22"/>
  <c r="C22" i="22"/>
  <c r="D22" i="22"/>
  <c r="E22" i="22"/>
  <c r="C23" i="22"/>
  <c r="D23" i="22"/>
  <c r="E23" i="22"/>
  <c r="C24" i="22"/>
  <c r="D24" i="22"/>
  <c r="E24" i="22"/>
  <c r="C25" i="22"/>
  <c r="D25" i="22"/>
  <c r="E25" i="22"/>
  <c r="C26" i="22"/>
  <c r="D26" i="22"/>
  <c r="E26" i="22"/>
  <c r="C27" i="22"/>
  <c r="D27" i="22"/>
  <c r="E27" i="22"/>
  <c r="C28" i="22"/>
  <c r="D28" i="22"/>
  <c r="E28" i="22"/>
  <c r="C29" i="22"/>
  <c r="D29" i="22"/>
  <c r="E29" i="22"/>
  <c r="C30" i="22"/>
  <c r="D30" i="22"/>
  <c r="E30" i="22"/>
  <c r="C31" i="22"/>
  <c r="D31" i="22"/>
  <c r="E31" i="22"/>
  <c r="C32" i="22"/>
  <c r="D32" i="22"/>
  <c r="E32" i="22"/>
  <c r="C33" i="22"/>
  <c r="D33" i="22"/>
  <c r="E33" i="22"/>
  <c r="C34" i="22"/>
  <c r="D34" i="22"/>
  <c r="E34" i="22"/>
  <c r="E15" i="22"/>
  <c r="I49" i="22" s="1"/>
  <c r="J39" i="22"/>
  <c r="I42" i="22"/>
  <c r="I43" i="22"/>
  <c r="I44" i="22"/>
  <c r="I45" i="22"/>
  <c r="I46" i="22"/>
  <c r="I47" i="22"/>
  <c r="I48" i="22"/>
  <c r="I50" i="22"/>
  <c r="I51" i="22"/>
  <c r="I52" i="22"/>
  <c r="I53" i="22"/>
  <c r="I54" i="22"/>
  <c r="I55" i="22"/>
  <c r="I56" i="22"/>
  <c r="I57" i="22"/>
  <c r="I58" i="22"/>
  <c r="I59" i="22"/>
  <c r="I60" i="22"/>
  <c r="I61" i="22"/>
  <c r="I62" i="22"/>
  <c r="I63" i="22"/>
  <c r="I64" i="22"/>
  <c r="I65" i="22"/>
  <c r="I66" i="22"/>
  <c r="I67" i="22"/>
  <c r="I68" i="22"/>
  <c r="E5" i="22"/>
  <c r="I39" i="22" s="1"/>
  <c r="G44" i="13"/>
  <c r="L8" i="56"/>
  <c r="G11" i="1"/>
  <c r="AP20" i="2"/>
  <c r="AO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D11" i="51"/>
  <c r="E50" i="56" l="1"/>
  <c r="E49" i="56"/>
  <c r="E48" i="56"/>
  <c r="D48" i="56"/>
  <c r="E47" i="56"/>
  <c r="D47" i="56"/>
  <c r="E46" i="56"/>
  <c r="E45" i="56"/>
  <c r="D45" i="56"/>
  <c r="E44" i="56"/>
  <c r="D44" i="56"/>
  <c r="E43" i="56"/>
  <c r="D43" i="56"/>
  <c r="E42" i="56"/>
  <c r="E41" i="56"/>
  <c r="D41" i="56"/>
  <c r="E40" i="56"/>
  <c r="D40" i="56"/>
  <c r="B411" i="19"/>
  <c r="G408" i="19"/>
  <c r="B408" i="19"/>
  <c r="G410" i="19"/>
  <c r="B410" i="19"/>
  <c r="A409" i="19"/>
  <c r="B407" i="19"/>
  <c r="G407" i="19"/>
  <c r="B409" i="19"/>
  <c r="G409" i="19"/>
  <c r="A411" i="19"/>
  <c r="G411" i="19"/>
  <c r="B98" i="19"/>
  <c r="B99" i="19"/>
  <c r="B100" i="19"/>
  <c r="C12" i="51"/>
  <c r="C11" i="51"/>
  <c r="B11" i="51"/>
  <c r="D49" i="56" s="1"/>
  <c r="C8" i="51"/>
  <c r="C4" i="51"/>
  <c r="B4" i="51"/>
  <c r="B8" i="51" s="1"/>
  <c r="L37" i="56"/>
  <c r="L36" i="56"/>
  <c r="L35" i="56"/>
  <c r="L34" i="56"/>
  <c r="L33" i="56"/>
  <c r="L32" i="56"/>
  <c r="L31" i="56"/>
  <c r="L30" i="56"/>
  <c r="L29" i="56"/>
  <c r="L28" i="56"/>
  <c r="L27" i="56"/>
  <c r="L26" i="56"/>
  <c r="E32" i="56"/>
  <c r="L24" i="56"/>
  <c r="C135" i="32"/>
  <c r="C152" i="56" s="1"/>
  <c r="C134" i="32"/>
  <c r="C151" i="56" s="1"/>
  <c r="J31" i="1"/>
  <c r="J46" i="1"/>
  <c r="C130" i="32"/>
  <c r="C147" i="56" s="1"/>
  <c r="C61" i="7"/>
  <c r="C39" i="15"/>
  <c r="P47" i="51"/>
  <c r="F36" i="51"/>
  <c r="B45" i="10"/>
  <c r="C50" i="14"/>
  <c r="C52" i="14"/>
  <c r="C53" i="14"/>
  <c r="K14" i="32"/>
  <c r="J14" i="32"/>
  <c r="I14" i="32"/>
  <c r="H14" i="32"/>
  <c r="G14" i="32"/>
  <c r="F14" i="32"/>
  <c r="E14" i="32"/>
  <c r="D14" i="32"/>
  <c r="C14" i="32"/>
  <c r="K14" i="56"/>
  <c r="J14" i="56"/>
  <c r="I14" i="56"/>
  <c r="H14" i="56"/>
  <c r="G14" i="56"/>
  <c r="F14" i="56"/>
  <c r="E14" i="56"/>
  <c r="D14" i="56"/>
  <c r="C14" i="56"/>
  <c r="D136" i="56"/>
  <c r="E14" i="22"/>
  <c r="E13" i="22"/>
  <c r="E12" i="22"/>
  <c r="E11" i="22"/>
  <c r="E10" i="22"/>
  <c r="E9" i="22"/>
  <c r="E8" i="22"/>
  <c r="E7" i="22"/>
  <c r="I41" i="22" s="1"/>
  <c r="E6" i="22"/>
  <c r="I40" i="22" s="1"/>
  <c r="C6" i="22"/>
  <c r="D6" i="22"/>
  <c r="C7" i="22"/>
  <c r="D7" i="22"/>
  <c r="C8" i="22"/>
  <c r="D8" i="22"/>
  <c r="C9" i="22"/>
  <c r="D9" i="22"/>
  <c r="C10" i="22"/>
  <c r="D10" i="22"/>
  <c r="C11" i="22"/>
  <c r="D11" i="22"/>
  <c r="C12" i="22"/>
  <c r="D12" i="22"/>
  <c r="C13" i="22"/>
  <c r="D13" i="22"/>
  <c r="C14" i="22"/>
  <c r="D14" i="22"/>
  <c r="C15" i="22"/>
  <c r="D15" i="22"/>
  <c r="D5" i="22"/>
  <c r="C5" i="22"/>
  <c r="C131" i="32"/>
  <c r="C148" i="56" s="1"/>
  <c r="G10" i="1"/>
  <c r="B10" i="1"/>
  <c r="B34" i="10"/>
  <c r="E37" i="56"/>
  <c r="E35" i="56"/>
  <c r="E36" i="56"/>
  <c r="B14" i="51" l="1"/>
  <c r="B12" i="51"/>
  <c r="D50" i="56" s="1"/>
  <c r="D46" i="56"/>
  <c r="D42" i="56"/>
  <c r="E21" i="56"/>
  <c r="E20" i="56"/>
  <c r="E19" i="56"/>
  <c r="J35" i="1"/>
  <c r="C36" i="56"/>
  <c r="C36" i="32"/>
  <c r="E36" i="32"/>
  <c r="L14" i="56"/>
  <c r="L13" i="56"/>
  <c r="L12" i="56"/>
  <c r="L11" i="56"/>
  <c r="L6" i="56"/>
  <c r="H124" i="56"/>
  <c r="D124" i="56"/>
  <c r="C124" i="56"/>
  <c r="H123" i="56"/>
  <c r="D123" i="56"/>
  <c r="H122" i="56"/>
  <c r="D122" i="56"/>
  <c r="C122" i="56"/>
  <c r="H121" i="56"/>
  <c r="D121" i="56"/>
  <c r="H120" i="56"/>
  <c r="D120" i="56"/>
  <c r="C52" i="56"/>
  <c r="H51" i="56"/>
  <c r="F51" i="56"/>
  <c r="C51" i="56"/>
  <c r="C50" i="56"/>
  <c r="C49" i="56"/>
  <c r="H48" i="56"/>
  <c r="F48" i="56"/>
  <c r="C48" i="56"/>
  <c r="H47" i="56"/>
  <c r="F47" i="56"/>
  <c r="C47" i="56"/>
  <c r="C46" i="56"/>
  <c r="H45" i="56"/>
  <c r="F45" i="56"/>
  <c r="C45" i="56"/>
  <c r="H44" i="56"/>
  <c r="F44" i="56"/>
  <c r="C44" i="56"/>
  <c r="H43" i="56"/>
  <c r="F43" i="56"/>
  <c r="C43" i="56"/>
  <c r="C42" i="56"/>
  <c r="H41" i="56"/>
  <c r="F41" i="56"/>
  <c r="C41" i="56"/>
  <c r="H40" i="56"/>
  <c r="F40" i="56"/>
  <c r="C40" i="56"/>
  <c r="C39" i="56"/>
  <c r="C118" i="56"/>
  <c r="C117" i="56"/>
  <c r="C116" i="56"/>
  <c r="C114" i="56"/>
  <c r="C111" i="56"/>
  <c r="C110" i="56"/>
  <c r="C109" i="56"/>
  <c r="C106" i="56"/>
  <c r="C105" i="56"/>
  <c r="C104" i="56"/>
  <c r="C103" i="56"/>
  <c r="C102" i="56"/>
  <c r="C101" i="56"/>
  <c r="C100" i="56"/>
  <c r="C99" i="56"/>
  <c r="D98" i="56"/>
  <c r="C98" i="56"/>
  <c r="C97" i="56"/>
  <c r="C96" i="56"/>
  <c r="C95" i="56"/>
  <c r="C94" i="56"/>
  <c r="C93" i="56"/>
  <c r="C91" i="56"/>
  <c r="C90" i="56"/>
  <c r="C89" i="56"/>
  <c r="C88" i="56"/>
  <c r="C87" i="56"/>
  <c r="C86" i="56"/>
  <c r="C85" i="56"/>
  <c r="C84" i="56"/>
  <c r="C83" i="56"/>
  <c r="C82" i="56"/>
  <c r="D81" i="56"/>
  <c r="H79" i="56"/>
  <c r="F79" i="56"/>
  <c r="C79" i="56"/>
  <c r="C77" i="56"/>
  <c r="J75" i="56"/>
  <c r="H75" i="56"/>
  <c r="F75" i="56"/>
  <c r="C75" i="56"/>
  <c r="C73" i="56"/>
  <c r="C71" i="56"/>
  <c r="C69" i="56"/>
  <c r="C68" i="56"/>
  <c r="C60" i="56"/>
  <c r="C56" i="56"/>
  <c r="E34" i="56"/>
  <c r="E33" i="56"/>
  <c r="E31" i="56"/>
  <c r="E30" i="56"/>
  <c r="E29" i="56"/>
  <c r="E28" i="56"/>
  <c r="E27" i="56"/>
  <c r="E26" i="56"/>
  <c r="E24" i="56"/>
  <c r="K21" i="56"/>
  <c r="J21" i="56"/>
  <c r="I21" i="56"/>
  <c r="G21" i="56"/>
  <c r="F21" i="56"/>
  <c r="K20" i="56"/>
  <c r="J20" i="56"/>
  <c r="I20" i="56"/>
  <c r="G20" i="56"/>
  <c r="F20" i="56"/>
  <c r="K19" i="56"/>
  <c r="J19" i="56"/>
  <c r="I19" i="56"/>
  <c r="G19" i="56"/>
  <c r="F19" i="56"/>
  <c r="H18" i="56"/>
  <c r="E16" i="56"/>
  <c r="K13" i="56"/>
  <c r="J13" i="56"/>
  <c r="I13" i="56"/>
  <c r="H13" i="56"/>
  <c r="G13" i="56"/>
  <c r="F13" i="56"/>
  <c r="E13" i="56"/>
  <c r="D13" i="56"/>
  <c r="C13" i="56"/>
  <c r="K12" i="56"/>
  <c r="J12" i="56"/>
  <c r="I12" i="56"/>
  <c r="H12" i="56"/>
  <c r="G12" i="56"/>
  <c r="F12" i="56"/>
  <c r="E12" i="56"/>
  <c r="D12" i="56"/>
  <c r="C12" i="56"/>
  <c r="K11" i="56"/>
  <c r="J11" i="56"/>
  <c r="I11" i="56"/>
  <c r="H11" i="56"/>
  <c r="G11" i="56"/>
  <c r="F11" i="56"/>
  <c r="E11" i="56"/>
  <c r="D11" i="56"/>
  <c r="G10" i="56"/>
  <c r="A8" i="56"/>
  <c r="A6" i="56"/>
  <c r="J3" i="56"/>
  <c r="D3" i="56"/>
  <c r="J2" i="56"/>
  <c r="J1" i="56"/>
  <c r="C1" i="56"/>
  <c r="E4" i="2"/>
  <c r="I35" i="1"/>
  <c r="J22" i="32" s="1"/>
  <c r="G118" i="32" s="1"/>
  <c r="H35" i="1"/>
  <c r="I22" i="32" s="1"/>
  <c r="F118" i="32" s="1"/>
  <c r="G35" i="1"/>
  <c r="H22" i="32" s="1"/>
  <c r="E118" i="32" s="1"/>
  <c r="E35" i="1"/>
  <c r="D35" i="1"/>
  <c r="C35" i="1"/>
  <c r="E22" i="32" s="1"/>
  <c r="J21" i="32"/>
  <c r="J20" i="32"/>
  <c r="J19" i="32"/>
  <c r="I21" i="32"/>
  <c r="H21" i="32"/>
  <c r="I20" i="32"/>
  <c r="H20" i="32"/>
  <c r="I19" i="32"/>
  <c r="H19" i="32"/>
  <c r="G18" i="32"/>
  <c r="E32" i="32"/>
  <c r="C1" i="32"/>
  <c r="H175" i="19"/>
  <c r="G175" i="19"/>
  <c r="F175" i="19"/>
  <c r="H174" i="19"/>
  <c r="G174" i="19"/>
  <c r="F174" i="19"/>
  <c r="F21" i="32"/>
  <c r="F20" i="32"/>
  <c r="F19" i="32"/>
  <c r="P46" i="51"/>
  <c r="P45" i="51"/>
  <c r="E135" i="56" l="1"/>
  <c r="K43" i="56"/>
  <c r="D128" i="56"/>
  <c r="F22" i="32"/>
  <c r="E22" i="56"/>
  <c r="J22" i="56"/>
  <c r="F22" i="56"/>
  <c r="F135" i="56"/>
  <c r="G135" i="56"/>
  <c r="G22" i="56"/>
  <c r="I22" i="56"/>
  <c r="K22" i="56"/>
  <c r="J40" i="56"/>
  <c r="J44" i="56"/>
  <c r="J48" i="56"/>
  <c r="J41" i="56"/>
  <c r="J43" i="56"/>
  <c r="J45" i="56"/>
  <c r="J47" i="56"/>
  <c r="J51" i="56"/>
  <c r="C45" i="2"/>
  <c r="C45" i="15"/>
  <c r="E116" i="56" s="1"/>
  <c r="G5" i="51"/>
  <c r="I43" i="56" s="1"/>
  <c r="D105" i="56"/>
  <c r="B44" i="10"/>
  <c r="B37" i="10"/>
  <c r="B36" i="10"/>
  <c r="D18" i="51"/>
  <c r="D36" i="51"/>
  <c r="F34" i="51"/>
  <c r="D34" i="51"/>
  <c r="F30" i="51"/>
  <c r="F40" i="51" s="1"/>
  <c r="D30" i="51"/>
  <c r="F24" i="51"/>
  <c r="D24" i="51"/>
  <c r="F18" i="51"/>
  <c r="D28" i="51" l="1"/>
  <c r="D40" i="51"/>
  <c r="D104" i="56"/>
  <c r="D96" i="56"/>
  <c r="D94" i="56"/>
  <c r="D97" i="56"/>
  <c r="F28" i="51"/>
  <c r="G10" i="32"/>
  <c r="D41" i="51" l="1"/>
  <c r="F41" i="51"/>
  <c r="B61" i="19" l="1"/>
  <c r="A1" i="50" l="1"/>
  <c r="F3" i="50"/>
  <c r="J53" i="1" l="1"/>
  <c r="J43" i="1"/>
  <c r="C129" i="32" s="1"/>
  <c r="J4" i="22"/>
  <c r="K4" i="22" s="1"/>
  <c r="L4" i="22" s="1"/>
  <c r="M4" i="22" s="1"/>
  <c r="N4" i="22" s="1"/>
  <c r="O4" i="22" s="1"/>
  <c r="P4" i="22" s="1"/>
  <c r="Q4" i="22" s="1"/>
  <c r="R4" i="22" s="1"/>
  <c r="S4" i="22" s="1"/>
  <c r="T4" i="22" s="1"/>
  <c r="U4" i="22" s="1"/>
  <c r="V4" i="22" s="1"/>
  <c r="W4" i="22" s="1"/>
  <c r="X4" i="22" s="1"/>
  <c r="Y4" i="22" s="1"/>
  <c r="Z4" i="22" s="1"/>
  <c r="AA4" i="22" s="1"/>
  <c r="AB4" i="22" s="1"/>
  <c r="AC4" i="22" s="1"/>
  <c r="AD4" i="22" s="1"/>
  <c r="AE4" i="22" s="1"/>
  <c r="AF4" i="22" s="1"/>
  <c r="AG4" i="22" s="1"/>
  <c r="AH4" i="22" s="1"/>
  <c r="AI4" i="22" s="1"/>
  <c r="AJ4" i="22" s="1"/>
  <c r="AK4" i="22" s="1"/>
  <c r="AL4" i="22" s="1"/>
  <c r="AM4" i="22" s="1"/>
  <c r="AN4" i="22" s="1"/>
  <c r="AO4" i="22" s="1"/>
  <c r="AP4" i="22" s="1"/>
  <c r="AQ4" i="22" s="1"/>
  <c r="AR4" i="22" s="1"/>
  <c r="AS4" i="22" s="1"/>
  <c r="J37" i="22"/>
  <c r="C146" i="56" l="1"/>
  <c r="F34" i="22"/>
  <c r="G34" i="22" s="1"/>
  <c r="F9" i="22"/>
  <c r="G9" i="22" s="1"/>
  <c r="F10" i="22"/>
  <c r="F11" i="22"/>
  <c r="G11" i="22" s="1"/>
  <c r="F12" i="22"/>
  <c r="G12" i="22" s="1"/>
  <c r="F13" i="22"/>
  <c r="G13" i="22" s="1"/>
  <c r="F14" i="22"/>
  <c r="G14" i="22" s="1"/>
  <c r="F15" i="22"/>
  <c r="G15" i="22" s="1"/>
  <c r="F16" i="22"/>
  <c r="G16" i="22" s="1"/>
  <c r="F17" i="22"/>
  <c r="G17" i="22" s="1"/>
  <c r="F18" i="22"/>
  <c r="F19" i="22"/>
  <c r="G19" i="22" s="1"/>
  <c r="F20" i="22"/>
  <c r="G20" i="22" s="1"/>
  <c r="F21" i="22"/>
  <c r="G21" i="22" s="1"/>
  <c r="F22" i="22"/>
  <c r="F23" i="22"/>
  <c r="G23" i="22" s="1"/>
  <c r="F24" i="22"/>
  <c r="G24" i="22" s="1"/>
  <c r="F25" i="22"/>
  <c r="G25" i="22" s="1"/>
  <c r="F26" i="22"/>
  <c r="F27" i="22"/>
  <c r="G27" i="22" s="1"/>
  <c r="F28" i="22"/>
  <c r="G28" i="22" s="1"/>
  <c r="F29" i="22"/>
  <c r="G29" i="22" s="1"/>
  <c r="F30" i="22"/>
  <c r="F31" i="22"/>
  <c r="G31" i="22" s="1"/>
  <c r="F32" i="22"/>
  <c r="G32" i="22" s="1"/>
  <c r="F33" i="22"/>
  <c r="G33" i="22" s="1"/>
  <c r="F5" i="22"/>
  <c r="G5" i="22" s="1"/>
  <c r="B39" i="13"/>
  <c r="E35" i="22"/>
  <c r="D35" i="22"/>
  <c r="C35" i="22"/>
  <c r="B35" i="22"/>
  <c r="K34" i="22"/>
  <c r="K33" i="22"/>
  <c r="K67" i="22" s="1"/>
  <c r="K32" i="22"/>
  <c r="K31" i="22"/>
  <c r="K65" i="22" s="1"/>
  <c r="K30" i="22"/>
  <c r="K64" i="22" s="1"/>
  <c r="K29" i="22"/>
  <c r="K63" i="22" s="1"/>
  <c r="K28" i="22"/>
  <c r="K27" i="22"/>
  <c r="K61" i="22" s="1"/>
  <c r="K26" i="22"/>
  <c r="K60" i="22" s="1"/>
  <c r="K25" i="22"/>
  <c r="K59" i="22" s="1"/>
  <c r="K24" i="22"/>
  <c r="K23" i="22"/>
  <c r="K57" i="22" s="1"/>
  <c r="K22" i="22"/>
  <c r="K21" i="22"/>
  <c r="K55" i="22" s="1"/>
  <c r="K20" i="22"/>
  <c r="K19" i="22"/>
  <c r="K53" i="22" s="1"/>
  <c r="K18" i="22"/>
  <c r="K17" i="22"/>
  <c r="K51" i="22" s="1"/>
  <c r="K16" i="22"/>
  <c r="K15" i="22"/>
  <c r="K49" i="22" s="1"/>
  <c r="K14" i="22"/>
  <c r="L14" i="22" s="1"/>
  <c r="M14" i="22" s="1"/>
  <c r="K13" i="22"/>
  <c r="L13" i="22" s="1"/>
  <c r="M13" i="22" s="1"/>
  <c r="N13" i="22" s="1"/>
  <c r="O13" i="22" s="1"/>
  <c r="P13" i="22" s="1"/>
  <c r="Q13" i="22" s="1"/>
  <c r="R13" i="22" s="1"/>
  <c r="S13" i="22" s="1"/>
  <c r="T13" i="22" s="1"/>
  <c r="U13" i="22" s="1"/>
  <c r="V13" i="22" s="1"/>
  <c r="W13" i="22" s="1"/>
  <c r="X13" i="22" s="1"/>
  <c r="Y13" i="22" s="1"/>
  <c r="Z13" i="22" s="1"/>
  <c r="AA13" i="22" s="1"/>
  <c r="AB13" i="22" s="1"/>
  <c r="AC13" i="22" s="1"/>
  <c r="AD13" i="22" s="1"/>
  <c r="AE13" i="22" s="1"/>
  <c r="AF13" i="22" s="1"/>
  <c r="AG13" i="22" s="1"/>
  <c r="AH13" i="22" s="1"/>
  <c r="AI13" i="22" s="1"/>
  <c r="AJ13" i="22" s="1"/>
  <c r="AK13" i="22" s="1"/>
  <c r="AL13" i="22" s="1"/>
  <c r="AM13" i="22" s="1"/>
  <c r="AN13" i="22" s="1"/>
  <c r="AO13" i="22" s="1"/>
  <c r="AP13" i="22" s="1"/>
  <c r="AQ13" i="22" s="1"/>
  <c r="AR13" i="22" s="1"/>
  <c r="AS13" i="22" s="1"/>
  <c r="K12" i="22"/>
  <c r="L12" i="22" s="1"/>
  <c r="K11" i="22"/>
  <c r="L11" i="22" s="1"/>
  <c r="K10" i="22"/>
  <c r="L10" i="22" s="1"/>
  <c r="M10" i="22" s="1"/>
  <c r="N10" i="22" s="1"/>
  <c r="O10" i="22" s="1"/>
  <c r="P10" i="22" s="1"/>
  <c r="Q10" i="22" s="1"/>
  <c r="R10" i="22" s="1"/>
  <c r="S10" i="22" s="1"/>
  <c r="T10" i="22" s="1"/>
  <c r="U10" i="22" s="1"/>
  <c r="V10" i="22" s="1"/>
  <c r="W10" i="22" s="1"/>
  <c r="X10" i="22" s="1"/>
  <c r="Y10" i="22" s="1"/>
  <c r="Z10" i="22" s="1"/>
  <c r="AA10" i="22" s="1"/>
  <c r="AB10" i="22" s="1"/>
  <c r="AC10" i="22" s="1"/>
  <c r="AD10" i="22" s="1"/>
  <c r="AE10" i="22" s="1"/>
  <c r="AF10" i="22" s="1"/>
  <c r="AG10" i="22" s="1"/>
  <c r="AH10" i="22" s="1"/>
  <c r="AI10" i="22" s="1"/>
  <c r="AJ10" i="22" s="1"/>
  <c r="AK10" i="22" s="1"/>
  <c r="AL10" i="22" s="1"/>
  <c r="AM10" i="22" s="1"/>
  <c r="AN10" i="22" s="1"/>
  <c r="AO10" i="22" s="1"/>
  <c r="AP10" i="22" s="1"/>
  <c r="AQ10" i="22" s="1"/>
  <c r="AR10" i="22" s="1"/>
  <c r="AS10" i="22" s="1"/>
  <c r="AS44" i="22" s="1"/>
  <c r="B102" i="22"/>
  <c r="B101" i="22"/>
  <c r="B100" i="22"/>
  <c r="B99" i="22"/>
  <c r="B98" i="22"/>
  <c r="B97" i="22"/>
  <c r="B96" i="22"/>
  <c r="B95" i="22"/>
  <c r="B94" i="22"/>
  <c r="B93" i="22"/>
  <c r="B92" i="22"/>
  <c r="B91" i="22"/>
  <c r="B90" i="22"/>
  <c r="B89" i="22"/>
  <c r="B88" i="22"/>
  <c r="B87" i="22"/>
  <c r="B86" i="22"/>
  <c r="B85" i="22"/>
  <c r="B84" i="22"/>
  <c r="B83" i="22"/>
  <c r="B82" i="22"/>
  <c r="B81" i="22"/>
  <c r="B80" i="22"/>
  <c r="B79" i="22"/>
  <c r="B78" i="22"/>
  <c r="B77" i="22"/>
  <c r="B76" i="22"/>
  <c r="B75" i="22"/>
  <c r="B73" i="22"/>
  <c r="G40" i="13"/>
  <c r="A38" i="22"/>
  <c r="J68" i="22"/>
  <c r="J67" i="22"/>
  <c r="K66" i="22"/>
  <c r="J66" i="22"/>
  <c r="J65" i="22"/>
  <c r="J99" i="22" s="1"/>
  <c r="J64" i="22"/>
  <c r="J63" i="22"/>
  <c r="K62" i="22"/>
  <c r="J62" i="22"/>
  <c r="J61" i="22"/>
  <c r="J60" i="22"/>
  <c r="J59" i="22"/>
  <c r="K58" i="22"/>
  <c r="J58" i="22"/>
  <c r="J57" i="22"/>
  <c r="K56" i="22"/>
  <c r="J56" i="22"/>
  <c r="J55" i="22"/>
  <c r="K54" i="22"/>
  <c r="J54" i="22"/>
  <c r="J53" i="22"/>
  <c r="K52" i="22"/>
  <c r="K86" i="22" s="1"/>
  <c r="J52" i="22"/>
  <c r="J51" i="22"/>
  <c r="K50" i="22"/>
  <c r="J50" i="22"/>
  <c r="J49" i="22"/>
  <c r="J48" i="22"/>
  <c r="AS47" i="22"/>
  <c r="AQ47" i="22"/>
  <c r="AO47" i="22"/>
  <c r="AM47" i="22"/>
  <c r="AK47" i="22"/>
  <c r="AI47" i="22"/>
  <c r="AG47" i="22"/>
  <c r="AE47" i="22"/>
  <c r="AC47" i="22"/>
  <c r="AA47" i="22"/>
  <c r="Y47" i="22"/>
  <c r="W47" i="22"/>
  <c r="U47" i="22"/>
  <c r="S47" i="22"/>
  <c r="Q47" i="22"/>
  <c r="O47" i="22"/>
  <c r="M47" i="22"/>
  <c r="K47" i="22"/>
  <c r="J47" i="22"/>
  <c r="J46" i="22"/>
  <c r="K45" i="22"/>
  <c r="J45" i="22"/>
  <c r="AQ44" i="22"/>
  <c r="AM44" i="22"/>
  <c r="AI44" i="22"/>
  <c r="AE44" i="22"/>
  <c r="AA44" i="22"/>
  <c r="W44" i="22"/>
  <c r="S44" i="22"/>
  <c r="O44" i="22"/>
  <c r="K44" i="22"/>
  <c r="J44" i="22"/>
  <c r="J43" i="22"/>
  <c r="J42" i="22"/>
  <c r="J76" i="22" s="1"/>
  <c r="J41" i="22"/>
  <c r="J40" i="22"/>
  <c r="B68" i="22"/>
  <c r="B67" i="22"/>
  <c r="B66" i="22"/>
  <c r="B65" i="22"/>
  <c r="B64" i="22"/>
  <c r="B63" i="22"/>
  <c r="B62" i="22"/>
  <c r="B61" i="22"/>
  <c r="B60" i="22"/>
  <c r="B59" i="22"/>
  <c r="B58" i="22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A68" i="22"/>
  <c r="A102" i="22" s="1"/>
  <c r="A67" i="22"/>
  <c r="A101" i="22" s="1"/>
  <c r="A66" i="22"/>
  <c r="A100" i="22" s="1"/>
  <c r="A65" i="22"/>
  <c r="A99" i="22" s="1"/>
  <c r="A64" i="22"/>
  <c r="A98" i="22" s="1"/>
  <c r="A63" i="22"/>
  <c r="A97" i="22" s="1"/>
  <c r="A62" i="22"/>
  <c r="A96" i="22" s="1"/>
  <c r="A61" i="22"/>
  <c r="A95" i="22" s="1"/>
  <c r="A60" i="22"/>
  <c r="A94" i="22" s="1"/>
  <c r="A59" i="22"/>
  <c r="A93" i="22" s="1"/>
  <c r="A58" i="22"/>
  <c r="A92" i="22" s="1"/>
  <c r="A57" i="22"/>
  <c r="A91" i="22" s="1"/>
  <c r="A56" i="22"/>
  <c r="A90" i="22" s="1"/>
  <c r="A55" i="22"/>
  <c r="A89" i="22" s="1"/>
  <c r="A54" i="22"/>
  <c r="A88" i="22" s="1"/>
  <c r="A53" i="22"/>
  <c r="A87" i="22" s="1"/>
  <c r="A52" i="22"/>
  <c r="A86" i="22" s="1"/>
  <c r="A51" i="22"/>
  <c r="A85" i="22" s="1"/>
  <c r="A50" i="22"/>
  <c r="A84" i="22" s="1"/>
  <c r="A49" i="22"/>
  <c r="A83" i="22" s="1"/>
  <c r="A48" i="22"/>
  <c r="A82" i="22" s="1"/>
  <c r="A47" i="22"/>
  <c r="A81" i="22" s="1"/>
  <c r="A46" i="22"/>
  <c r="A80" i="22" s="1"/>
  <c r="A45" i="22"/>
  <c r="A79" i="22" s="1"/>
  <c r="A44" i="22"/>
  <c r="A78" i="22" s="1"/>
  <c r="A43" i="22"/>
  <c r="A77" i="22" s="1"/>
  <c r="A42" i="22"/>
  <c r="A76" i="22" s="1"/>
  <c r="A41" i="22"/>
  <c r="A75" i="22" s="1"/>
  <c r="A40" i="22"/>
  <c r="A74" i="22" s="1"/>
  <c r="A39" i="22"/>
  <c r="A73" i="22" s="1"/>
  <c r="G10" i="22"/>
  <c r="G18" i="22"/>
  <c r="G22" i="22"/>
  <c r="G26" i="22"/>
  <c r="G30" i="22"/>
  <c r="K9" i="22"/>
  <c r="L9" i="22" s="1"/>
  <c r="M9" i="22" s="1"/>
  <c r="N9" i="22" s="1"/>
  <c r="O9" i="22" s="1"/>
  <c r="P9" i="22" s="1"/>
  <c r="Q9" i="22" s="1"/>
  <c r="R9" i="22" s="1"/>
  <c r="S9" i="22" s="1"/>
  <c r="T9" i="22" s="1"/>
  <c r="U9" i="22" s="1"/>
  <c r="V9" i="22" s="1"/>
  <c r="W9" i="22" s="1"/>
  <c r="X9" i="22" s="1"/>
  <c r="Y9" i="22" s="1"/>
  <c r="Z9" i="22" s="1"/>
  <c r="AA9" i="22" s="1"/>
  <c r="AB9" i="22" s="1"/>
  <c r="AC9" i="22" s="1"/>
  <c r="AD9" i="22" s="1"/>
  <c r="AE9" i="22" s="1"/>
  <c r="AF9" i="22" s="1"/>
  <c r="AG9" i="22" s="1"/>
  <c r="AH9" i="22" s="1"/>
  <c r="AI9" i="22" s="1"/>
  <c r="AJ9" i="22" s="1"/>
  <c r="AK9" i="22" s="1"/>
  <c r="AL9" i="22" s="1"/>
  <c r="AM9" i="22" s="1"/>
  <c r="AN9" i="22" s="1"/>
  <c r="AO9" i="22" s="1"/>
  <c r="AP9" i="22" s="1"/>
  <c r="AQ9" i="22" s="1"/>
  <c r="AR9" i="22" s="1"/>
  <c r="AS9" i="22" s="1"/>
  <c r="K8" i="22"/>
  <c r="F8" i="22"/>
  <c r="G8" i="22" s="1"/>
  <c r="K7" i="22"/>
  <c r="F7" i="22"/>
  <c r="G7" i="22" s="1"/>
  <c r="K6" i="22"/>
  <c r="F6" i="22"/>
  <c r="G6" i="22" s="1"/>
  <c r="B74" i="22"/>
  <c r="K5" i="22"/>
  <c r="J70" i="22" l="1"/>
  <c r="AS78" i="22"/>
  <c r="J93" i="22"/>
  <c r="K48" i="22"/>
  <c r="K82" i="22" s="1"/>
  <c r="M44" i="22"/>
  <c r="M78" i="22" s="1"/>
  <c r="Q44" i="22"/>
  <c r="Q78" i="22" s="1"/>
  <c r="U44" i="22"/>
  <c r="U78" i="22" s="1"/>
  <c r="Y44" i="22"/>
  <c r="Y78" i="22" s="1"/>
  <c r="AC44" i="22"/>
  <c r="AC78" i="22" s="1"/>
  <c r="AG44" i="22"/>
  <c r="AG78" i="22" s="1"/>
  <c r="AK44" i="22"/>
  <c r="AK78" i="22" s="1"/>
  <c r="AO44" i="22"/>
  <c r="AO78" i="22" s="1"/>
  <c r="J83" i="22"/>
  <c r="O78" i="22"/>
  <c r="S78" i="22"/>
  <c r="W78" i="22"/>
  <c r="AA78" i="22"/>
  <c r="AE78" i="22"/>
  <c r="AI78" i="22"/>
  <c r="AM78" i="22"/>
  <c r="AQ78" i="22"/>
  <c r="K84" i="22"/>
  <c r="K88" i="22"/>
  <c r="K92" i="22"/>
  <c r="N14" i="22"/>
  <c r="O14" i="22" s="1"/>
  <c r="M48" i="22"/>
  <c r="M82" i="22" s="1"/>
  <c r="L44" i="22"/>
  <c r="N44" i="22"/>
  <c r="N78" i="22" s="1"/>
  <c r="P44" i="22"/>
  <c r="P78" i="22" s="1"/>
  <c r="R44" i="22"/>
  <c r="R78" i="22" s="1"/>
  <c r="T44" i="22"/>
  <c r="T78" i="22" s="1"/>
  <c r="V44" i="22"/>
  <c r="V78" i="22" s="1"/>
  <c r="X44" i="22"/>
  <c r="X78" i="22" s="1"/>
  <c r="Z44" i="22"/>
  <c r="AB44" i="22"/>
  <c r="AB78" i="22" s="1"/>
  <c r="AD44" i="22"/>
  <c r="AD78" i="22" s="1"/>
  <c r="AF44" i="22"/>
  <c r="AF78" i="22" s="1"/>
  <c r="AH44" i="22"/>
  <c r="AH78" i="22" s="1"/>
  <c r="AJ44" i="22"/>
  <c r="AJ78" i="22" s="1"/>
  <c r="AL44" i="22"/>
  <c r="AL78" i="22" s="1"/>
  <c r="AN44" i="22"/>
  <c r="AN78" i="22" s="1"/>
  <c r="AP44" i="22"/>
  <c r="AR44" i="22"/>
  <c r="J79" i="22"/>
  <c r="K94" i="22"/>
  <c r="L16" i="22"/>
  <c r="L18" i="22"/>
  <c r="L20" i="22"/>
  <c r="L54" i="22" s="1"/>
  <c r="L88" i="22" s="1"/>
  <c r="L22" i="22"/>
  <c r="L24" i="22"/>
  <c r="L26" i="22"/>
  <c r="L28" i="22"/>
  <c r="L30" i="22"/>
  <c r="L32" i="22"/>
  <c r="L34" i="22"/>
  <c r="K68" i="22"/>
  <c r="L15" i="22"/>
  <c r="L17" i="22"/>
  <c r="L19" i="22"/>
  <c r="L21" i="22"/>
  <c r="L23" i="22"/>
  <c r="L25" i="22"/>
  <c r="L59" i="22" s="1"/>
  <c r="L93" i="22" s="1"/>
  <c r="L27" i="22"/>
  <c r="L61" i="22" s="1"/>
  <c r="L95" i="22" s="1"/>
  <c r="L29" i="22"/>
  <c r="M29" i="22" s="1"/>
  <c r="L31" i="22"/>
  <c r="L65" i="22" s="1"/>
  <c r="L99" i="22" s="1"/>
  <c r="L33" i="22"/>
  <c r="M33" i="22" s="1"/>
  <c r="F35" i="22"/>
  <c r="L48" i="22"/>
  <c r="N48" i="22"/>
  <c r="N82" i="22" s="1"/>
  <c r="L47" i="22"/>
  <c r="L81" i="22" s="1"/>
  <c r="N47" i="22"/>
  <c r="N81" i="22" s="1"/>
  <c r="P47" i="22"/>
  <c r="P81" i="22" s="1"/>
  <c r="R47" i="22"/>
  <c r="R81" i="22" s="1"/>
  <c r="T47" i="22"/>
  <c r="T81" i="22" s="1"/>
  <c r="V47" i="22"/>
  <c r="V81" i="22" s="1"/>
  <c r="X47" i="22"/>
  <c r="Z47" i="22"/>
  <c r="Z81" i="22" s="1"/>
  <c r="AB47" i="22"/>
  <c r="AB81" i="22" s="1"/>
  <c r="AD47" i="22"/>
  <c r="AD81" i="22" s="1"/>
  <c r="AF47" i="22"/>
  <c r="AF81" i="22" s="1"/>
  <c r="AH47" i="22"/>
  <c r="AJ47" i="22"/>
  <c r="AJ81" i="22" s="1"/>
  <c r="AL47" i="22"/>
  <c r="AL81" i="22" s="1"/>
  <c r="AN47" i="22"/>
  <c r="AP47" i="22"/>
  <c r="AP81" i="22" s="1"/>
  <c r="AR47" i="22"/>
  <c r="AR81" i="22" s="1"/>
  <c r="M12" i="22"/>
  <c r="L46" i="22"/>
  <c r="L80" i="22" s="1"/>
  <c r="K46" i="22"/>
  <c r="K80" i="22" s="1"/>
  <c r="M11" i="22"/>
  <c r="L45" i="22"/>
  <c r="L79" i="22" s="1"/>
  <c r="K42" i="22"/>
  <c r="L8" i="22"/>
  <c r="M8" i="22" s="1"/>
  <c r="N8" i="22" s="1"/>
  <c r="O8" i="22" s="1"/>
  <c r="P8" i="22" s="1"/>
  <c r="Q8" i="22" s="1"/>
  <c r="R8" i="22" s="1"/>
  <c r="S8" i="22" s="1"/>
  <c r="T8" i="22" s="1"/>
  <c r="U8" i="22" s="1"/>
  <c r="V8" i="22" s="1"/>
  <c r="W8" i="22" s="1"/>
  <c r="X8" i="22" s="1"/>
  <c r="Y8" i="22" s="1"/>
  <c r="Z8" i="22" s="1"/>
  <c r="AA8" i="22" s="1"/>
  <c r="AB8" i="22" s="1"/>
  <c r="AC8" i="22" s="1"/>
  <c r="AD8" i="22" s="1"/>
  <c r="AE8" i="22" s="1"/>
  <c r="AF8" i="22" s="1"/>
  <c r="AG8" i="22" s="1"/>
  <c r="AH8" i="22" s="1"/>
  <c r="AI8" i="22" s="1"/>
  <c r="AJ8" i="22" s="1"/>
  <c r="AK8" i="22" s="1"/>
  <c r="AL8" i="22" s="1"/>
  <c r="AM8" i="22" s="1"/>
  <c r="AN8" i="22" s="1"/>
  <c r="AO8" i="22" s="1"/>
  <c r="AP8" i="22" s="1"/>
  <c r="AQ8" i="22" s="1"/>
  <c r="AR8" i="22" s="1"/>
  <c r="AS8" i="22" s="1"/>
  <c r="K41" i="22"/>
  <c r="L7" i="22"/>
  <c r="M7" i="22" s="1"/>
  <c r="N7" i="22" s="1"/>
  <c r="O7" i="22" s="1"/>
  <c r="P7" i="22" s="1"/>
  <c r="Q7" i="22" s="1"/>
  <c r="R7" i="22" s="1"/>
  <c r="S7" i="22" s="1"/>
  <c r="T7" i="22" s="1"/>
  <c r="U7" i="22" s="1"/>
  <c r="V7" i="22" s="1"/>
  <c r="W7" i="22" s="1"/>
  <c r="X7" i="22" s="1"/>
  <c r="Y7" i="22" s="1"/>
  <c r="Z7" i="22" s="1"/>
  <c r="AA7" i="22" s="1"/>
  <c r="AB7" i="22" s="1"/>
  <c r="AC7" i="22" s="1"/>
  <c r="AD7" i="22" s="1"/>
  <c r="AE7" i="22" s="1"/>
  <c r="AF7" i="22" s="1"/>
  <c r="AG7" i="22" s="1"/>
  <c r="AH7" i="22" s="1"/>
  <c r="AI7" i="22" s="1"/>
  <c r="AJ7" i="22" s="1"/>
  <c r="AK7" i="22" s="1"/>
  <c r="AL7" i="22" s="1"/>
  <c r="AM7" i="22" s="1"/>
  <c r="AN7" i="22" s="1"/>
  <c r="AO7" i="22" s="1"/>
  <c r="AP7" i="22" s="1"/>
  <c r="AQ7" i="22" s="1"/>
  <c r="AR7" i="22" s="1"/>
  <c r="AS7" i="22" s="1"/>
  <c r="K40" i="22"/>
  <c r="L6" i="22"/>
  <c r="M6" i="22" s="1"/>
  <c r="N6" i="22" s="1"/>
  <c r="O6" i="22" s="1"/>
  <c r="P6" i="22" s="1"/>
  <c r="Q6" i="22" s="1"/>
  <c r="R6" i="22" s="1"/>
  <c r="S6" i="22" s="1"/>
  <c r="T6" i="22" s="1"/>
  <c r="U6" i="22" s="1"/>
  <c r="V6" i="22" s="1"/>
  <c r="W6" i="22" s="1"/>
  <c r="X6" i="22" s="1"/>
  <c r="Y6" i="22" s="1"/>
  <c r="Z6" i="22" s="1"/>
  <c r="AA6" i="22" s="1"/>
  <c r="AB6" i="22" s="1"/>
  <c r="AC6" i="22" s="1"/>
  <c r="AD6" i="22" s="1"/>
  <c r="AE6" i="22" s="1"/>
  <c r="AF6" i="22" s="1"/>
  <c r="AG6" i="22" s="1"/>
  <c r="AH6" i="22" s="1"/>
  <c r="AI6" i="22" s="1"/>
  <c r="AJ6" i="22" s="1"/>
  <c r="AK6" i="22" s="1"/>
  <c r="AL6" i="22" s="1"/>
  <c r="AM6" i="22" s="1"/>
  <c r="AN6" i="22" s="1"/>
  <c r="AO6" i="22" s="1"/>
  <c r="AP6" i="22" s="1"/>
  <c r="AQ6" i="22" s="1"/>
  <c r="AR6" i="22" s="1"/>
  <c r="AS6" i="22" s="1"/>
  <c r="K39" i="22"/>
  <c r="L5" i="22"/>
  <c r="M5" i="22" s="1"/>
  <c r="N5" i="22" s="1"/>
  <c r="O5" i="22" s="1"/>
  <c r="P5" i="22" s="1"/>
  <c r="Q5" i="22" s="1"/>
  <c r="R5" i="22" s="1"/>
  <c r="S5" i="22" s="1"/>
  <c r="U5" i="22" s="1"/>
  <c r="J73" i="22"/>
  <c r="M16" i="22"/>
  <c r="K96" i="22"/>
  <c r="K98" i="22"/>
  <c r="K100" i="22"/>
  <c r="M31" i="22"/>
  <c r="L67" i="22"/>
  <c r="L101" i="22" s="1"/>
  <c r="M27" i="22"/>
  <c r="K75" i="22"/>
  <c r="K43" i="22"/>
  <c r="K78" i="22"/>
  <c r="AR78" i="22"/>
  <c r="K74" i="22"/>
  <c r="J75" i="22"/>
  <c r="K76" i="22"/>
  <c r="J77" i="22"/>
  <c r="K79" i="22"/>
  <c r="J81" i="22"/>
  <c r="AH81" i="22"/>
  <c r="K83" i="22"/>
  <c r="J74" i="22"/>
  <c r="AS81" i="22"/>
  <c r="AQ81" i="22"/>
  <c r="AO81" i="22"/>
  <c r="AM81" i="22"/>
  <c r="AK81" i="22"/>
  <c r="AI81" i="22"/>
  <c r="AG81" i="22"/>
  <c r="AE81" i="22"/>
  <c r="AC81" i="22"/>
  <c r="AA81" i="22"/>
  <c r="Y81" i="22"/>
  <c r="W81" i="22"/>
  <c r="U81" i="22"/>
  <c r="S81" i="22"/>
  <c r="Q81" i="22"/>
  <c r="O81" i="22"/>
  <c r="M81" i="22"/>
  <c r="K81" i="22"/>
  <c r="X81" i="22"/>
  <c r="AN81" i="22"/>
  <c r="J78" i="22"/>
  <c r="Z78" i="22"/>
  <c r="AP78" i="22"/>
  <c r="J80" i="22"/>
  <c r="J82" i="22"/>
  <c r="L82" i="22"/>
  <c r="J84" i="22"/>
  <c r="K85" i="22"/>
  <c r="J86" i="22"/>
  <c r="K87" i="22"/>
  <c r="J88" i="22"/>
  <c r="K89" i="22"/>
  <c r="J90" i="22"/>
  <c r="K90" i="22"/>
  <c r="J91" i="22"/>
  <c r="K93" i="22"/>
  <c r="J95" i="22"/>
  <c r="J85" i="22"/>
  <c r="J87" i="22"/>
  <c r="J89" i="22"/>
  <c r="K91" i="22"/>
  <c r="K95" i="22"/>
  <c r="J92" i="22"/>
  <c r="J94" i="22"/>
  <c r="J96" i="22"/>
  <c r="K97" i="22"/>
  <c r="J98" i="22"/>
  <c r="K99" i="22"/>
  <c r="J97" i="22"/>
  <c r="J100" i="22"/>
  <c r="K101" i="22"/>
  <c r="J102" i="22"/>
  <c r="J101" i="22"/>
  <c r="H10" i="22"/>
  <c r="H13" i="22"/>
  <c r="W5" i="22" l="1"/>
  <c r="X5" i="22" s="1"/>
  <c r="Y5" i="22" s="1"/>
  <c r="Z5" i="22" s="1"/>
  <c r="AA5" i="22" s="1"/>
  <c r="AB5" i="22" s="1"/>
  <c r="AC5" i="22" s="1"/>
  <c r="AD5" i="22" s="1"/>
  <c r="AE5" i="22" s="1"/>
  <c r="AF5" i="22" s="1"/>
  <c r="AG5" i="22" s="1"/>
  <c r="AH5" i="22" s="1"/>
  <c r="AI5" i="22" s="1"/>
  <c r="AJ5" i="22" s="1"/>
  <c r="AK5" i="22" s="1"/>
  <c r="AL5" i="22" s="1"/>
  <c r="AM5" i="22" s="1"/>
  <c r="AN5" i="22" s="1"/>
  <c r="AO5" i="22" s="1"/>
  <c r="AP5" i="22" s="1"/>
  <c r="AQ5" i="22" s="1"/>
  <c r="AR5" i="22" s="1"/>
  <c r="AS5" i="22" s="1"/>
  <c r="H5" i="22"/>
  <c r="K73" i="22"/>
  <c r="K70" i="22"/>
  <c r="L63" i="22"/>
  <c r="L97" i="22" s="1"/>
  <c r="M25" i="22"/>
  <c r="M59" i="22" s="1"/>
  <c r="M93" i="22" s="1"/>
  <c r="H44" i="22"/>
  <c r="E186" i="19" s="1"/>
  <c r="L78" i="22"/>
  <c r="H78" i="22" s="1"/>
  <c r="F186" i="19" s="1"/>
  <c r="P14" i="22"/>
  <c r="O48" i="22"/>
  <c r="O82" i="22" s="1"/>
  <c r="L50" i="22"/>
  <c r="L84" i="22" s="1"/>
  <c r="M20" i="22"/>
  <c r="N20" i="22" s="1"/>
  <c r="M23" i="22"/>
  <c r="L57" i="22"/>
  <c r="L91" i="22" s="1"/>
  <c r="M21" i="22"/>
  <c r="L55" i="22"/>
  <c r="M19" i="22"/>
  <c r="L53" i="22"/>
  <c r="M17" i="22"/>
  <c r="L51" i="22"/>
  <c r="M15" i="22"/>
  <c r="L49" i="22"/>
  <c r="K102" i="22"/>
  <c r="M34" i="22"/>
  <c r="L68" i="22"/>
  <c r="L102" i="22" s="1"/>
  <c r="M32" i="22"/>
  <c r="L66" i="22"/>
  <c r="L100" i="22" s="1"/>
  <c r="M30" i="22"/>
  <c r="L64" i="22"/>
  <c r="M28" i="22"/>
  <c r="L62" i="22"/>
  <c r="M26" i="22"/>
  <c r="L60" i="22"/>
  <c r="M24" i="22"/>
  <c r="L58" i="22"/>
  <c r="M22" i="22"/>
  <c r="L56" i="22"/>
  <c r="L90" i="22" s="1"/>
  <c r="M18" i="22"/>
  <c r="L52" i="22"/>
  <c r="N25" i="22"/>
  <c r="H47" i="22"/>
  <c r="E189" i="19" s="1"/>
  <c r="N12" i="22"/>
  <c r="M46" i="22"/>
  <c r="N11" i="22"/>
  <c r="M45" i="22"/>
  <c r="M79" i="22" s="1"/>
  <c r="N29" i="22"/>
  <c r="M63" i="22"/>
  <c r="M97" i="22" s="1"/>
  <c r="N16" i="22"/>
  <c r="M50" i="22"/>
  <c r="M84" i="22" s="1"/>
  <c r="N27" i="22"/>
  <c r="M61" i="22"/>
  <c r="M95" i="22" s="1"/>
  <c r="N33" i="22"/>
  <c r="M67" i="22"/>
  <c r="M101" i="22" s="1"/>
  <c r="N31" i="22"/>
  <c r="M65" i="22"/>
  <c r="M99" i="22" s="1"/>
  <c r="L40" i="22"/>
  <c r="L42" i="22"/>
  <c r="K77" i="22"/>
  <c r="L39" i="22"/>
  <c r="L70" i="22" s="1"/>
  <c r="L43" i="22"/>
  <c r="L77" i="22" s="1"/>
  <c r="L41" i="22"/>
  <c r="H81" i="22"/>
  <c r="F189" i="19" s="1"/>
  <c r="M54" i="22" l="1"/>
  <c r="M88" i="22" s="1"/>
  <c r="Q14" i="22"/>
  <c r="P48" i="22"/>
  <c r="L86" i="22"/>
  <c r="L92" i="22"/>
  <c r="L94" i="22"/>
  <c r="L96" i="22"/>
  <c r="L98" i="22"/>
  <c r="L83" i="22"/>
  <c r="L85" i="22"/>
  <c r="L87" i="22"/>
  <c r="L89" i="22"/>
  <c r="N18" i="22"/>
  <c r="M52" i="22"/>
  <c r="M86" i="22" s="1"/>
  <c r="N22" i="22"/>
  <c r="M56" i="22"/>
  <c r="M90" i="22" s="1"/>
  <c r="N24" i="22"/>
  <c r="M58" i="22"/>
  <c r="M92" i="22" s="1"/>
  <c r="N26" i="22"/>
  <c r="M60" i="22"/>
  <c r="M94" i="22" s="1"/>
  <c r="N28" i="22"/>
  <c r="M62" i="22"/>
  <c r="M96" i="22" s="1"/>
  <c r="N30" i="22"/>
  <c r="M64" i="22"/>
  <c r="M98" i="22" s="1"/>
  <c r="N32" i="22"/>
  <c r="M66" i="22"/>
  <c r="M100" i="22" s="1"/>
  <c r="N34" i="22"/>
  <c r="M68" i="22"/>
  <c r="M102" i="22" s="1"/>
  <c r="N15" i="22"/>
  <c r="M49" i="22"/>
  <c r="M83" i="22" s="1"/>
  <c r="N17" i="22"/>
  <c r="M51" i="22"/>
  <c r="M85" i="22" s="1"/>
  <c r="N19" i="22"/>
  <c r="M53" i="22"/>
  <c r="M87" i="22" s="1"/>
  <c r="N21" i="22"/>
  <c r="M55" i="22"/>
  <c r="M89" i="22" s="1"/>
  <c r="N23" i="22"/>
  <c r="M57" i="22"/>
  <c r="M91" i="22" s="1"/>
  <c r="O20" i="22"/>
  <c r="N54" i="22"/>
  <c r="N88" i="22" s="1"/>
  <c r="O25" i="22"/>
  <c r="N59" i="22"/>
  <c r="M80" i="22"/>
  <c r="O12" i="22"/>
  <c r="N46" i="22"/>
  <c r="N80" i="22" s="1"/>
  <c r="O11" i="22"/>
  <c r="N45" i="22"/>
  <c r="N79" i="22" s="1"/>
  <c r="O16" i="22"/>
  <c r="N50" i="22"/>
  <c r="N84" i="22" s="1"/>
  <c r="O29" i="22"/>
  <c r="N63" i="22"/>
  <c r="O31" i="22"/>
  <c r="N65" i="22"/>
  <c r="N67" i="22"/>
  <c r="N101" i="22" s="1"/>
  <c r="O33" i="22"/>
  <c r="O27" i="22"/>
  <c r="N61" i="22"/>
  <c r="M41" i="22"/>
  <c r="M75" i="22" s="1"/>
  <c r="M43" i="22"/>
  <c r="M77" i="22" s="1"/>
  <c r="L73" i="22"/>
  <c r="M42" i="22"/>
  <c r="M76" i="22" s="1"/>
  <c r="M40" i="22"/>
  <c r="M74" i="22" s="1"/>
  <c r="L75" i="22"/>
  <c r="M39" i="22"/>
  <c r="L76" i="22"/>
  <c r="L74" i="22"/>
  <c r="M73" i="22" l="1"/>
  <c r="M70" i="22"/>
  <c r="P82" i="22"/>
  <c r="R14" i="22"/>
  <c r="Q48" i="22"/>
  <c r="Q82" i="22" s="1"/>
  <c r="O23" i="22"/>
  <c r="N57" i="22"/>
  <c r="N91" i="22" s="1"/>
  <c r="O21" i="22"/>
  <c r="N55" i="22"/>
  <c r="N89" i="22" s="1"/>
  <c r="O17" i="22"/>
  <c r="N51" i="22"/>
  <c r="N85" i="22" s="1"/>
  <c r="O19" i="22"/>
  <c r="N53" i="22"/>
  <c r="N87" i="22" s="1"/>
  <c r="O15" i="22"/>
  <c r="N49" i="22"/>
  <c r="N83" i="22" s="1"/>
  <c r="O34" i="22"/>
  <c r="N68" i="22"/>
  <c r="N102" i="22" s="1"/>
  <c r="O32" i="22"/>
  <c r="N66" i="22"/>
  <c r="N100" i="22" s="1"/>
  <c r="O30" i="22"/>
  <c r="N64" i="22"/>
  <c r="N98" i="22" s="1"/>
  <c r="O28" i="22"/>
  <c r="N62" i="22"/>
  <c r="N96" i="22" s="1"/>
  <c r="O26" i="22"/>
  <c r="N60" i="22"/>
  <c r="N94" i="22" s="1"/>
  <c r="O24" i="22"/>
  <c r="N58" i="22"/>
  <c r="N92" i="22" s="1"/>
  <c r="O22" i="22"/>
  <c r="N56" i="22"/>
  <c r="N90" i="22" s="1"/>
  <c r="O18" i="22"/>
  <c r="N52" i="22"/>
  <c r="N86" i="22" s="1"/>
  <c r="P25" i="22"/>
  <c r="O59" i="22"/>
  <c r="O93" i="22" s="1"/>
  <c r="P20" i="22"/>
  <c r="O54" i="22"/>
  <c r="N93" i="22"/>
  <c r="P12" i="22"/>
  <c r="O46" i="22"/>
  <c r="O80" i="22" s="1"/>
  <c r="P11" i="22"/>
  <c r="O45" i="22"/>
  <c r="N97" i="22"/>
  <c r="P16" i="22"/>
  <c r="O50" i="22"/>
  <c r="P29" i="22"/>
  <c r="O63" i="22"/>
  <c r="O97" i="22" s="1"/>
  <c r="N95" i="22"/>
  <c r="O67" i="22"/>
  <c r="O101" i="22" s="1"/>
  <c r="P33" i="22"/>
  <c r="N99" i="22"/>
  <c r="P27" i="22"/>
  <c r="O61" i="22"/>
  <c r="O95" i="22" s="1"/>
  <c r="P31" i="22"/>
  <c r="O65" i="22"/>
  <c r="O99" i="22" s="1"/>
  <c r="N39" i="22"/>
  <c r="N40" i="22"/>
  <c r="N42" i="22"/>
  <c r="N41" i="22"/>
  <c r="N75" i="22" s="1"/>
  <c r="N43" i="22"/>
  <c r="N73" i="22" l="1"/>
  <c r="N70" i="22"/>
  <c r="S14" i="22"/>
  <c r="R48" i="22"/>
  <c r="R82" i="22" s="1"/>
  <c r="P18" i="22"/>
  <c r="O52" i="22"/>
  <c r="P28" i="22"/>
  <c r="O62" i="22"/>
  <c r="P22" i="22"/>
  <c r="O56" i="22"/>
  <c r="O90" i="22" s="1"/>
  <c r="P24" i="22"/>
  <c r="O58" i="22"/>
  <c r="P26" i="22"/>
  <c r="O60" i="22"/>
  <c r="P30" i="22"/>
  <c r="O64" i="22"/>
  <c r="P32" i="22"/>
  <c r="O66" i="22"/>
  <c r="O100" i="22" s="1"/>
  <c r="P34" i="22"/>
  <c r="O68" i="22"/>
  <c r="P15" i="22"/>
  <c r="O49" i="22"/>
  <c r="O83" i="22" s="1"/>
  <c r="P19" i="22"/>
  <c r="O53" i="22"/>
  <c r="O87" i="22" s="1"/>
  <c r="P17" i="22"/>
  <c r="O51" i="22"/>
  <c r="P21" i="22"/>
  <c r="O55" i="22"/>
  <c r="O57" i="22"/>
  <c r="O91" i="22" s="1"/>
  <c r="P23" i="22"/>
  <c r="Q20" i="22"/>
  <c r="P54" i="22"/>
  <c r="P88" i="22" s="1"/>
  <c r="Q25" i="22"/>
  <c r="P59" i="22"/>
  <c r="O88" i="22"/>
  <c r="Q12" i="22"/>
  <c r="P46" i="22"/>
  <c r="P80" i="22" s="1"/>
  <c r="Q11" i="22"/>
  <c r="P45" i="22"/>
  <c r="P79" i="22" s="1"/>
  <c r="O79" i="22"/>
  <c r="Q29" i="22"/>
  <c r="P63" i="22"/>
  <c r="P97" i="22" s="1"/>
  <c r="Q16" i="22"/>
  <c r="P50" i="22"/>
  <c r="P84" i="22" s="1"/>
  <c r="O84" i="22"/>
  <c r="Q31" i="22"/>
  <c r="P65" i="22"/>
  <c r="P99" i="22" s="1"/>
  <c r="Q27" i="22"/>
  <c r="P61" i="22"/>
  <c r="P95" i="22" s="1"/>
  <c r="P67" i="22"/>
  <c r="P101" i="22" s="1"/>
  <c r="Q33" i="22"/>
  <c r="N77" i="22"/>
  <c r="N76" i="22"/>
  <c r="O40" i="22"/>
  <c r="O74" i="22" s="1"/>
  <c r="O39" i="22"/>
  <c r="O43" i="22"/>
  <c r="O77" i="22" s="1"/>
  <c r="O41" i="22"/>
  <c r="O75" i="22" s="1"/>
  <c r="O42" i="22"/>
  <c r="O76" i="22" s="1"/>
  <c r="N74" i="22"/>
  <c r="O70" i="22" l="1"/>
  <c r="T14" i="22"/>
  <c r="S48" i="22"/>
  <c r="S82" i="22" s="1"/>
  <c r="O89" i="22"/>
  <c r="Q17" i="22"/>
  <c r="P51" i="22"/>
  <c r="P85" i="22" s="1"/>
  <c r="Q15" i="22"/>
  <c r="P49" i="22"/>
  <c r="O102" i="22"/>
  <c r="Q32" i="22"/>
  <c r="P66" i="22"/>
  <c r="P100" i="22" s="1"/>
  <c r="Q30" i="22"/>
  <c r="P64" i="22"/>
  <c r="P98" i="22" s="1"/>
  <c r="O94" i="22"/>
  <c r="Q24" i="22"/>
  <c r="P58" i="22"/>
  <c r="P92" i="22" s="1"/>
  <c r="Q22" i="22"/>
  <c r="P56" i="22"/>
  <c r="P90" i="22" s="1"/>
  <c r="Q28" i="22"/>
  <c r="P62" i="22"/>
  <c r="P96" i="22" s="1"/>
  <c r="O86" i="22"/>
  <c r="Q23" i="22"/>
  <c r="P57" i="22"/>
  <c r="P91" i="22" s="1"/>
  <c r="Q21" i="22"/>
  <c r="P55" i="22"/>
  <c r="P89" i="22" s="1"/>
  <c r="O85" i="22"/>
  <c r="Q19" i="22"/>
  <c r="P53" i="22"/>
  <c r="P87" i="22" s="1"/>
  <c r="Q34" i="22"/>
  <c r="P68" i="22"/>
  <c r="P102" i="22" s="1"/>
  <c r="O98" i="22"/>
  <c r="Q26" i="22"/>
  <c r="P60" i="22"/>
  <c r="P94" i="22" s="1"/>
  <c r="O92" i="22"/>
  <c r="O96" i="22"/>
  <c r="Q18" i="22"/>
  <c r="P52" i="22"/>
  <c r="P86" i="22" s="1"/>
  <c r="R25" i="22"/>
  <c r="Q59" i="22"/>
  <c r="Q93" i="22" s="1"/>
  <c r="R20" i="22"/>
  <c r="Q54" i="22"/>
  <c r="P93" i="22"/>
  <c r="R12" i="22"/>
  <c r="Q46" i="22"/>
  <c r="R11" i="22"/>
  <c r="Q45" i="22"/>
  <c r="Q79" i="22" s="1"/>
  <c r="R29" i="22"/>
  <c r="Q63" i="22"/>
  <c r="R16" i="22"/>
  <c r="Q50" i="22"/>
  <c r="R31" i="22"/>
  <c r="Q65" i="22"/>
  <c r="Q67" i="22"/>
  <c r="Q101" i="22" s="1"/>
  <c r="R33" i="22"/>
  <c r="R27" i="22"/>
  <c r="Q61" i="22"/>
  <c r="Q95" i="22" s="1"/>
  <c r="P41" i="22"/>
  <c r="P43" i="22"/>
  <c r="O73" i="22"/>
  <c r="P42" i="22"/>
  <c r="P76" i="22" s="1"/>
  <c r="P39" i="22"/>
  <c r="P40" i="22"/>
  <c r="P73" i="22" l="1"/>
  <c r="P70" i="22"/>
  <c r="U14" i="22"/>
  <c r="T48" i="22"/>
  <c r="T82" i="22" s="1"/>
  <c r="H14" i="22"/>
  <c r="R19" i="22"/>
  <c r="Q53" i="22"/>
  <c r="Q87" i="22" s="1"/>
  <c r="R21" i="22"/>
  <c r="Q55" i="22"/>
  <c r="Q89" i="22" s="1"/>
  <c r="R28" i="22"/>
  <c r="Q62" i="22"/>
  <c r="R30" i="22"/>
  <c r="Q64" i="22"/>
  <c r="Q98" i="22" s="1"/>
  <c r="Q66" i="22"/>
  <c r="Q100" i="22" s="1"/>
  <c r="R32" i="22"/>
  <c r="R15" i="22"/>
  <c r="Q49" i="22"/>
  <c r="Q83" i="22" s="1"/>
  <c r="R18" i="22"/>
  <c r="Q52" i="22"/>
  <c r="Q86" i="22" s="1"/>
  <c r="R26" i="22"/>
  <c r="Q60" i="22"/>
  <c r="Q94" i="22" s="1"/>
  <c r="R34" i="22"/>
  <c r="Q68" i="22"/>
  <c r="Q102" i="22" s="1"/>
  <c r="Q57" i="22"/>
  <c r="Q91" i="22" s="1"/>
  <c r="R23" i="22"/>
  <c r="R22" i="22"/>
  <c r="Q56" i="22"/>
  <c r="R24" i="22"/>
  <c r="Q58" i="22"/>
  <c r="P83" i="22"/>
  <c r="R17" i="22"/>
  <c r="Q51" i="22"/>
  <c r="Q88" i="22"/>
  <c r="S20" i="22"/>
  <c r="R54" i="22"/>
  <c r="R88" i="22" s="1"/>
  <c r="S25" i="22"/>
  <c r="R59" i="22"/>
  <c r="R93" i="22" s="1"/>
  <c r="S12" i="22"/>
  <c r="R46" i="22"/>
  <c r="R80" i="22" s="1"/>
  <c r="Q80" i="22"/>
  <c r="S11" i="22"/>
  <c r="R45" i="22"/>
  <c r="R79" i="22" s="1"/>
  <c r="S16" i="22"/>
  <c r="R50" i="22"/>
  <c r="R84" i="22" s="1"/>
  <c r="Q97" i="22"/>
  <c r="Q84" i="22"/>
  <c r="S29" i="22"/>
  <c r="R63" i="22"/>
  <c r="R97" i="22" s="1"/>
  <c r="S27" i="22"/>
  <c r="R61" i="22"/>
  <c r="R95" i="22" s="1"/>
  <c r="S31" i="22"/>
  <c r="R65" i="22"/>
  <c r="R99" i="22" s="1"/>
  <c r="R67" i="22"/>
  <c r="R101" i="22" s="1"/>
  <c r="S33" i="22"/>
  <c r="Q99" i="22"/>
  <c r="Q40" i="22"/>
  <c r="Q74" i="22" s="1"/>
  <c r="Q39" i="22"/>
  <c r="Q70" i="22" s="1"/>
  <c r="Q42" i="22"/>
  <c r="Q76" i="22" s="1"/>
  <c r="Q43" i="22"/>
  <c r="Q77" i="22" s="1"/>
  <c r="Q41" i="22"/>
  <c r="Q75" i="22" s="1"/>
  <c r="P74" i="22"/>
  <c r="P77" i="22"/>
  <c r="P75" i="22"/>
  <c r="V14" i="22" l="1"/>
  <c r="U48" i="22"/>
  <c r="U82" i="22" s="1"/>
  <c r="H82" i="22" s="1"/>
  <c r="F190" i="19" s="1"/>
  <c r="Q85" i="22"/>
  <c r="Q92" i="22"/>
  <c r="Q90" i="22"/>
  <c r="S34" i="22"/>
  <c r="R68" i="22"/>
  <c r="R102" i="22" s="1"/>
  <c r="S30" i="22"/>
  <c r="R64" i="22"/>
  <c r="R98" i="22" s="1"/>
  <c r="S28" i="22"/>
  <c r="R62" i="22"/>
  <c r="R96" i="22" s="1"/>
  <c r="S21" i="22"/>
  <c r="R55" i="22"/>
  <c r="S19" i="22"/>
  <c r="R53" i="22"/>
  <c r="R87" i="22" s="1"/>
  <c r="S17" i="22"/>
  <c r="R51" i="22"/>
  <c r="R85" i="22" s="1"/>
  <c r="S24" i="22"/>
  <c r="R58" i="22"/>
  <c r="R92" i="22" s="1"/>
  <c r="S22" i="22"/>
  <c r="R56" i="22"/>
  <c r="R90" i="22" s="1"/>
  <c r="S23" i="22"/>
  <c r="R57" i="22"/>
  <c r="R91" i="22" s="1"/>
  <c r="S26" i="22"/>
  <c r="R60" i="22"/>
  <c r="R94" i="22" s="1"/>
  <c r="S18" i="22"/>
  <c r="R52" i="22"/>
  <c r="R86" i="22" s="1"/>
  <c r="S15" i="22"/>
  <c r="R49" i="22"/>
  <c r="S32" i="22"/>
  <c r="R66" i="22"/>
  <c r="Q96" i="22"/>
  <c r="T25" i="22"/>
  <c r="S59" i="22"/>
  <c r="S93" i="22" s="1"/>
  <c r="T20" i="22"/>
  <c r="S54" i="22"/>
  <c r="S88" i="22" s="1"/>
  <c r="T12" i="22"/>
  <c r="S46" i="22"/>
  <c r="S80" i="22" s="1"/>
  <c r="T11" i="22"/>
  <c r="S45" i="22"/>
  <c r="S79" i="22" s="1"/>
  <c r="T29" i="22"/>
  <c r="S63" i="22"/>
  <c r="S97" i="22" s="1"/>
  <c r="T16" i="22"/>
  <c r="S50" i="22"/>
  <c r="S84" i="22" s="1"/>
  <c r="T33" i="22"/>
  <c r="S67" i="22"/>
  <c r="S101" i="22" s="1"/>
  <c r="T27" i="22"/>
  <c r="S61" i="22"/>
  <c r="S95" i="22" s="1"/>
  <c r="T31" i="22"/>
  <c r="S65" i="22"/>
  <c r="S99" i="22" s="1"/>
  <c r="R39" i="22"/>
  <c r="R40" i="22"/>
  <c r="R74" i="22" s="1"/>
  <c r="R41" i="22"/>
  <c r="R75" i="22" s="1"/>
  <c r="R43" i="22"/>
  <c r="R42" i="22"/>
  <c r="Q73" i="22"/>
  <c r="R73" i="22" l="1"/>
  <c r="R70" i="22"/>
  <c r="H48" i="22"/>
  <c r="E190" i="19" s="1"/>
  <c r="W14" i="22"/>
  <c r="V48" i="22"/>
  <c r="V82" i="22" s="1"/>
  <c r="R100" i="22"/>
  <c r="R83" i="22"/>
  <c r="S56" i="22"/>
  <c r="S90" i="22" s="1"/>
  <c r="T22" i="22"/>
  <c r="T24" i="22"/>
  <c r="S58" i="22"/>
  <c r="S92" i="22" s="1"/>
  <c r="R89" i="22"/>
  <c r="T32" i="22"/>
  <c r="S66" i="22"/>
  <c r="S100" i="22" s="1"/>
  <c r="T15" i="22"/>
  <c r="S49" i="22"/>
  <c r="S83" i="22" s="1"/>
  <c r="T18" i="22"/>
  <c r="S52" i="22"/>
  <c r="S86" i="22" s="1"/>
  <c r="T26" i="22"/>
  <c r="S60" i="22"/>
  <c r="S94" i="22" s="1"/>
  <c r="S57" i="22"/>
  <c r="S91" i="22" s="1"/>
  <c r="T23" i="22"/>
  <c r="T17" i="22"/>
  <c r="S51" i="22"/>
  <c r="S85" i="22" s="1"/>
  <c r="T19" i="22"/>
  <c r="S53" i="22"/>
  <c r="S87" i="22" s="1"/>
  <c r="T21" i="22"/>
  <c r="S55" i="22"/>
  <c r="S89" i="22" s="1"/>
  <c r="T28" i="22"/>
  <c r="S62" i="22"/>
  <c r="T30" i="22"/>
  <c r="S64" i="22"/>
  <c r="S98" i="22" s="1"/>
  <c r="T34" i="22"/>
  <c r="S68" i="22"/>
  <c r="S102" i="22" s="1"/>
  <c r="U20" i="22"/>
  <c r="H20" i="22" s="1"/>
  <c r="T54" i="22"/>
  <c r="T88" i="22" s="1"/>
  <c r="U25" i="22"/>
  <c r="H25" i="22" s="1"/>
  <c r="T59" i="22"/>
  <c r="T93" i="22" s="1"/>
  <c r="U12" i="22"/>
  <c r="T46" i="22"/>
  <c r="T80" i="22" s="1"/>
  <c r="H12" i="22"/>
  <c r="U11" i="22"/>
  <c r="T45" i="22"/>
  <c r="T79" i="22" s="1"/>
  <c r="H11" i="22"/>
  <c r="U16" i="22"/>
  <c r="H16" i="22" s="1"/>
  <c r="T50" i="22"/>
  <c r="T84" i="22" s="1"/>
  <c r="U29" i="22"/>
  <c r="H29" i="22" s="1"/>
  <c r="T63" i="22"/>
  <c r="T97" i="22" s="1"/>
  <c r="U31" i="22"/>
  <c r="H31" i="22" s="1"/>
  <c r="T65" i="22"/>
  <c r="T99" i="22" s="1"/>
  <c r="U27" i="22"/>
  <c r="H27" i="22" s="1"/>
  <c r="T61" i="22"/>
  <c r="T95" i="22" s="1"/>
  <c r="T67" i="22"/>
  <c r="T101" i="22" s="1"/>
  <c r="U33" i="22"/>
  <c r="H33" i="22" s="1"/>
  <c r="R76" i="22"/>
  <c r="S43" i="22"/>
  <c r="S77" i="22" s="1"/>
  <c r="S41" i="22"/>
  <c r="S75" i="22" s="1"/>
  <c r="S40" i="22"/>
  <c r="S74" i="22" s="1"/>
  <c r="S39" i="22"/>
  <c r="S42" i="22"/>
  <c r="S76" i="22" s="1"/>
  <c r="R77" i="22"/>
  <c r="S73" i="22" l="1"/>
  <c r="S70" i="22"/>
  <c r="X14" i="22"/>
  <c r="W48" i="22"/>
  <c r="W82" i="22" s="1"/>
  <c r="U34" i="22"/>
  <c r="T68" i="22"/>
  <c r="T102" i="22" s="1"/>
  <c r="U30" i="22"/>
  <c r="T64" i="22"/>
  <c r="T98" i="22" s="1"/>
  <c r="U28" i="22"/>
  <c r="T62" i="22"/>
  <c r="T96" i="22" s="1"/>
  <c r="U19" i="22"/>
  <c r="T53" i="22"/>
  <c r="T87" i="22" s="1"/>
  <c r="U23" i="22"/>
  <c r="T57" i="22"/>
  <c r="T91" i="22" s="1"/>
  <c r="U15" i="22"/>
  <c r="T49" i="22"/>
  <c r="T83" i="22" s="1"/>
  <c r="U32" i="22"/>
  <c r="T66" i="22"/>
  <c r="T100" i="22" s="1"/>
  <c r="U22" i="22"/>
  <c r="T56" i="22"/>
  <c r="S96" i="22"/>
  <c r="U21" i="22"/>
  <c r="T55" i="22"/>
  <c r="T89" i="22" s="1"/>
  <c r="U17" i="22"/>
  <c r="T51" i="22"/>
  <c r="T85" i="22" s="1"/>
  <c r="U26" i="22"/>
  <c r="T60" i="22"/>
  <c r="T94" i="22" s="1"/>
  <c r="U18" i="22"/>
  <c r="T52" i="22"/>
  <c r="T86" i="22" s="1"/>
  <c r="U24" i="22"/>
  <c r="T58" i="22"/>
  <c r="T92" i="22" s="1"/>
  <c r="V25" i="22"/>
  <c r="U59" i="22"/>
  <c r="V20" i="22"/>
  <c r="U54" i="22"/>
  <c r="V12" i="22"/>
  <c r="U46" i="22"/>
  <c r="V11" i="22"/>
  <c r="U45" i="22"/>
  <c r="V29" i="22"/>
  <c r="U63" i="22"/>
  <c r="V16" i="22"/>
  <c r="U50" i="22"/>
  <c r="V31" i="22"/>
  <c r="U65" i="22"/>
  <c r="V33" i="22"/>
  <c r="U67" i="22"/>
  <c r="U101" i="22" s="1"/>
  <c r="H101" i="22" s="1"/>
  <c r="V27" i="22"/>
  <c r="U61" i="22"/>
  <c r="T42" i="22"/>
  <c r="T76" i="22" s="1"/>
  <c r="H8" i="22"/>
  <c r="T41" i="22"/>
  <c r="T75" i="22" s="1"/>
  <c r="T43" i="22"/>
  <c r="T77" i="22" s="1"/>
  <c r="T39" i="22"/>
  <c r="T40" i="22"/>
  <c r="T74" i="22" s="1"/>
  <c r="H6" i="22"/>
  <c r="T73" i="22" l="1"/>
  <c r="T70" i="22"/>
  <c r="Y14" i="22"/>
  <c r="X48" i="22"/>
  <c r="X82" i="22" s="1"/>
  <c r="V18" i="22"/>
  <c r="U52" i="22"/>
  <c r="H18" i="22"/>
  <c r="V26" i="22"/>
  <c r="U60" i="22"/>
  <c r="H26" i="22"/>
  <c r="V17" i="22"/>
  <c r="U51" i="22"/>
  <c r="H17" i="22"/>
  <c r="V21" i="22"/>
  <c r="U55" i="22"/>
  <c r="H21" i="22"/>
  <c r="T90" i="22"/>
  <c r="V24" i="22"/>
  <c r="U58" i="22"/>
  <c r="H24" i="22"/>
  <c r="V22" i="22"/>
  <c r="U56" i="22"/>
  <c r="U90" i="22" s="1"/>
  <c r="H22" i="22"/>
  <c r="H32" i="22"/>
  <c r="U66" i="22"/>
  <c r="U100" i="22" s="1"/>
  <c r="H100" i="22" s="1"/>
  <c r="V32" i="22"/>
  <c r="V15" i="22"/>
  <c r="U49" i="22"/>
  <c r="H15" i="22"/>
  <c r="H23" i="22"/>
  <c r="U57" i="22"/>
  <c r="V23" i="22"/>
  <c r="V19" i="22"/>
  <c r="U53" i="22"/>
  <c r="H19" i="22"/>
  <c r="V28" i="22"/>
  <c r="U62" i="22"/>
  <c r="H28" i="22"/>
  <c r="V30" i="22"/>
  <c r="U64" i="22"/>
  <c r="H30" i="22"/>
  <c r="V34" i="22"/>
  <c r="U68" i="22"/>
  <c r="H34" i="22"/>
  <c r="W20" i="22"/>
  <c r="V54" i="22"/>
  <c r="V88" i="22" s="1"/>
  <c r="W25" i="22"/>
  <c r="V59" i="22"/>
  <c r="V93" i="22" s="1"/>
  <c r="U88" i="22"/>
  <c r="H88" i="22" s="1"/>
  <c r="H54" i="22"/>
  <c r="U93" i="22"/>
  <c r="H93" i="22" s="1"/>
  <c r="H59" i="22"/>
  <c r="W12" i="22"/>
  <c r="V46" i="22"/>
  <c r="V80" i="22" s="1"/>
  <c r="U80" i="22"/>
  <c r="H80" i="22" s="1"/>
  <c r="F188" i="19" s="1"/>
  <c r="H46" i="22"/>
  <c r="E188" i="19" s="1"/>
  <c r="U79" i="22"/>
  <c r="H79" i="22" s="1"/>
  <c r="F187" i="19" s="1"/>
  <c r="H45" i="22"/>
  <c r="E187" i="19" s="1"/>
  <c r="W11" i="22"/>
  <c r="V45" i="22"/>
  <c r="V79" i="22" s="1"/>
  <c r="W16" i="22"/>
  <c r="V50" i="22"/>
  <c r="V84" i="22" s="1"/>
  <c r="U97" i="22"/>
  <c r="H97" i="22" s="1"/>
  <c r="H63" i="22"/>
  <c r="U84" i="22"/>
  <c r="H84" i="22" s="1"/>
  <c r="H50" i="22"/>
  <c r="W29" i="22"/>
  <c r="V63" i="22"/>
  <c r="V97" i="22" s="1"/>
  <c r="W27" i="22"/>
  <c r="V61" i="22"/>
  <c r="V95" i="22" s="1"/>
  <c r="W33" i="22"/>
  <c r="V67" i="22"/>
  <c r="V101" i="22" s="1"/>
  <c r="W31" i="22"/>
  <c r="V65" i="22"/>
  <c r="V99" i="22" s="1"/>
  <c r="U95" i="22"/>
  <c r="H95" i="22" s="1"/>
  <c r="H61" i="22"/>
  <c r="H67" i="22"/>
  <c r="U99" i="22"/>
  <c r="H99" i="22" s="1"/>
  <c r="H65" i="22"/>
  <c r="U42" i="22"/>
  <c r="U40" i="22"/>
  <c r="U39" i="22"/>
  <c r="U70" i="22" s="1"/>
  <c r="U43" i="22"/>
  <c r="H9" i="22"/>
  <c r="U41" i="22"/>
  <c r="H7" i="22"/>
  <c r="Z14" i="22" l="1"/>
  <c r="Y48" i="22"/>
  <c r="Y82" i="22" s="1"/>
  <c r="W34" i="22"/>
  <c r="V68" i="22"/>
  <c r="V102" i="22" s="1"/>
  <c r="U98" i="22"/>
  <c r="H98" i="22" s="1"/>
  <c r="H64" i="22"/>
  <c r="W28" i="22"/>
  <c r="V62" i="22"/>
  <c r="V96" i="22" s="1"/>
  <c r="U87" i="22"/>
  <c r="H87" i="22" s="1"/>
  <c r="H53" i="22"/>
  <c r="W23" i="22"/>
  <c r="V57" i="22"/>
  <c r="V91" i="22" s="1"/>
  <c r="U83" i="22"/>
  <c r="H83" i="22" s="1"/>
  <c r="H49" i="22"/>
  <c r="V66" i="22"/>
  <c r="V100" i="22" s="1"/>
  <c r="W32" i="22"/>
  <c r="H66" i="22"/>
  <c r="U92" i="22"/>
  <c r="H92" i="22" s="1"/>
  <c r="H58" i="22"/>
  <c r="H56" i="22"/>
  <c r="W21" i="22"/>
  <c r="V55" i="22"/>
  <c r="V89" i="22" s="1"/>
  <c r="U85" i="22"/>
  <c r="H85" i="22" s="1"/>
  <c r="H51" i="22"/>
  <c r="W26" i="22"/>
  <c r="V60" i="22"/>
  <c r="V94" i="22" s="1"/>
  <c r="U86" i="22"/>
  <c r="H86" i="22" s="1"/>
  <c r="H52" i="22"/>
  <c r="U102" i="22"/>
  <c r="H102" i="22" s="1"/>
  <c r="H68" i="22"/>
  <c r="W30" i="22"/>
  <c r="V64" i="22"/>
  <c r="V98" i="22" s="1"/>
  <c r="U96" i="22"/>
  <c r="H96" i="22" s="1"/>
  <c r="H62" i="22"/>
  <c r="W19" i="22"/>
  <c r="V53" i="22"/>
  <c r="V87" i="22" s="1"/>
  <c r="H57" i="22"/>
  <c r="U91" i="22"/>
  <c r="H91" i="22" s="1"/>
  <c r="W15" i="22"/>
  <c r="V49" i="22"/>
  <c r="V83" i="22" s="1"/>
  <c r="W22" i="22"/>
  <c r="V56" i="22"/>
  <c r="V90" i="22" s="1"/>
  <c r="W24" i="22"/>
  <c r="V58" i="22"/>
  <c r="V92" i="22" s="1"/>
  <c r="H90" i="22"/>
  <c r="U89" i="22"/>
  <c r="H89" i="22" s="1"/>
  <c r="H55" i="22"/>
  <c r="W17" i="22"/>
  <c r="V51" i="22"/>
  <c r="V85" i="22" s="1"/>
  <c r="U94" i="22"/>
  <c r="H94" i="22" s="1"/>
  <c r="H60" i="22"/>
  <c r="W18" i="22"/>
  <c r="V52" i="22"/>
  <c r="V86" i="22" s="1"/>
  <c r="X25" i="22"/>
  <c r="W59" i="22"/>
  <c r="W93" i="22" s="1"/>
  <c r="X20" i="22"/>
  <c r="W54" i="22"/>
  <c r="W88" i="22" s="1"/>
  <c r="X12" i="22"/>
  <c r="W46" i="22"/>
  <c r="W80" i="22" s="1"/>
  <c r="X11" i="22"/>
  <c r="W45" i="22"/>
  <c r="W79" i="22" s="1"/>
  <c r="X29" i="22"/>
  <c r="W63" i="22"/>
  <c r="W97" i="22" s="1"/>
  <c r="X16" i="22"/>
  <c r="W50" i="22"/>
  <c r="W84" i="22" s="1"/>
  <c r="X31" i="22"/>
  <c r="W65" i="22"/>
  <c r="W99" i="22" s="1"/>
  <c r="X33" i="22"/>
  <c r="W67" i="22"/>
  <c r="W101" i="22" s="1"/>
  <c r="X27" i="22"/>
  <c r="W61" i="22"/>
  <c r="W95" i="22" s="1"/>
  <c r="V41" i="22"/>
  <c r="V75" i="22" s="1"/>
  <c r="U77" i="22"/>
  <c r="H77" i="22" s="1"/>
  <c r="F185" i="19" s="1"/>
  <c r="H43" i="22"/>
  <c r="E185" i="19" s="1"/>
  <c r="V39" i="22"/>
  <c r="V40" i="22"/>
  <c r="V74" i="22" s="1"/>
  <c r="V42" i="22"/>
  <c r="V76" i="22" s="1"/>
  <c r="U75" i="22"/>
  <c r="H75" i="22" s="1"/>
  <c r="F183" i="19" s="1"/>
  <c r="H41" i="22"/>
  <c r="E183" i="19" s="1"/>
  <c r="V43" i="22"/>
  <c r="V77" i="22" s="1"/>
  <c r="U73" i="22"/>
  <c r="H73" i="22" s="1"/>
  <c r="F181" i="19" s="1"/>
  <c r="H39" i="22"/>
  <c r="U74" i="22"/>
  <c r="H74" i="22" s="1"/>
  <c r="F182" i="19" s="1"/>
  <c r="H40" i="22"/>
  <c r="E182" i="19" s="1"/>
  <c r="U76" i="22"/>
  <c r="H76" i="22" s="1"/>
  <c r="F184" i="19" s="1"/>
  <c r="H42" i="22"/>
  <c r="E184" i="19" s="1"/>
  <c r="V73" i="22" l="1"/>
  <c r="V70" i="22"/>
  <c r="E181" i="19"/>
  <c r="H69" i="22"/>
  <c r="AA14" i="22"/>
  <c r="Z48" i="22"/>
  <c r="Z82" i="22" s="1"/>
  <c r="X18" i="22"/>
  <c r="W52" i="22"/>
  <c r="W86" i="22" s="1"/>
  <c r="X17" i="22"/>
  <c r="W51" i="22"/>
  <c r="W85" i="22" s="1"/>
  <c r="W66" i="22"/>
  <c r="W100" i="22" s="1"/>
  <c r="X32" i="22"/>
  <c r="X24" i="22"/>
  <c r="W58" i="22"/>
  <c r="W92" i="22" s="1"/>
  <c r="X22" i="22"/>
  <c r="W56" i="22"/>
  <c r="W90" i="22" s="1"/>
  <c r="X15" i="22"/>
  <c r="W49" i="22"/>
  <c r="W83" i="22" s="1"/>
  <c r="X19" i="22"/>
  <c r="W53" i="22"/>
  <c r="W87" i="22" s="1"/>
  <c r="X30" i="22"/>
  <c r="W64" i="22"/>
  <c r="W98" i="22" s="1"/>
  <c r="X26" i="22"/>
  <c r="W60" i="22"/>
  <c r="W94" i="22" s="1"/>
  <c r="X21" i="22"/>
  <c r="W55" i="22"/>
  <c r="W89" i="22" s="1"/>
  <c r="X23" i="22"/>
  <c r="W57" i="22"/>
  <c r="W91" i="22" s="1"/>
  <c r="X28" i="22"/>
  <c r="W62" i="22"/>
  <c r="W96" i="22" s="1"/>
  <c r="X34" i="22"/>
  <c r="W68" i="22"/>
  <c r="W102" i="22" s="1"/>
  <c r="Y20" i="22"/>
  <c r="X54" i="22"/>
  <c r="X88" i="22" s="1"/>
  <c r="Y25" i="22"/>
  <c r="X59" i="22"/>
  <c r="X93" i="22" s="1"/>
  <c r="Y12" i="22"/>
  <c r="X46" i="22"/>
  <c r="X80" i="22" s="1"/>
  <c r="Y11" i="22"/>
  <c r="X45" i="22"/>
  <c r="X79" i="22" s="1"/>
  <c r="Y16" i="22"/>
  <c r="X50" i="22"/>
  <c r="X84" i="22" s="1"/>
  <c r="Y29" i="22"/>
  <c r="X63" i="22"/>
  <c r="X97" i="22" s="1"/>
  <c r="Y27" i="22"/>
  <c r="X61" i="22"/>
  <c r="X95" i="22" s="1"/>
  <c r="X67" i="22"/>
  <c r="X101" i="22" s="1"/>
  <c r="Y33" i="22"/>
  <c r="Y31" i="22"/>
  <c r="X65" i="22"/>
  <c r="X99" i="22" s="1"/>
  <c r="H103" i="22"/>
  <c r="W43" i="22"/>
  <c r="W77" i="22" s="1"/>
  <c r="W42" i="22"/>
  <c r="W76" i="22" s="1"/>
  <c r="W40" i="22"/>
  <c r="W74" i="22" s="1"/>
  <c r="W39" i="22"/>
  <c r="W41" i="22"/>
  <c r="W75" i="22" s="1"/>
  <c r="W73" i="22" l="1"/>
  <c r="W70" i="22"/>
  <c r="AB14" i="22"/>
  <c r="AA48" i="22"/>
  <c r="AA82" i="22" s="1"/>
  <c r="X66" i="22"/>
  <c r="X100" i="22" s="1"/>
  <c r="Y32" i="22"/>
  <c r="Y34" i="22"/>
  <c r="X68" i="22"/>
  <c r="X102" i="22" s="1"/>
  <c r="Y28" i="22"/>
  <c r="X62" i="22"/>
  <c r="X96" i="22" s="1"/>
  <c r="Y23" i="22"/>
  <c r="X57" i="22"/>
  <c r="X91" i="22" s="1"/>
  <c r="Y21" i="22"/>
  <c r="X55" i="22"/>
  <c r="X89" i="22" s="1"/>
  <c r="Y26" i="22"/>
  <c r="X60" i="22"/>
  <c r="X94" i="22" s="1"/>
  <c r="Y30" i="22"/>
  <c r="X64" i="22"/>
  <c r="X98" i="22" s="1"/>
  <c r="Y19" i="22"/>
  <c r="X53" i="22"/>
  <c r="X87" i="22" s="1"/>
  <c r="Y15" i="22"/>
  <c r="X49" i="22"/>
  <c r="X83" i="22" s="1"/>
  <c r="X56" i="22"/>
  <c r="X90" i="22" s="1"/>
  <c r="Y22" i="22"/>
  <c r="Y24" i="22"/>
  <c r="X58" i="22"/>
  <c r="X92" i="22" s="1"/>
  <c r="Y17" i="22"/>
  <c r="X51" i="22"/>
  <c r="X85" i="22" s="1"/>
  <c r="Y18" i="22"/>
  <c r="X52" i="22"/>
  <c r="X86" i="22" s="1"/>
  <c r="Z25" i="22"/>
  <c r="Y59" i="22"/>
  <c r="Y93" i="22" s="1"/>
  <c r="Z20" i="22"/>
  <c r="Y54" i="22"/>
  <c r="Y88" i="22" s="1"/>
  <c r="Z12" i="22"/>
  <c r="Y46" i="22"/>
  <c r="Y80" i="22" s="1"/>
  <c r="Z11" i="22"/>
  <c r="Y45" i="22"/>
  <c r="Y79" i="22" s="1"/>
  <c r="Z29" i="22"/>
  <c r="Y63" i="22"/>
  <c r="Y97" i="22" s="1"/>
  <c r="Z16" i="22"/>
  <c r="Y50" i="22"/>
  <c r="Y84" i="22" s="1"/>
  <c r="Z33" i="22"/>
  <c r="Y67" i="22"/>
  <c r="Y101" i="22" s="1"/>
  <c r="Z31" i="22"/>
  <c r="Y65" i="22"/>
  <c r="Y99" i="22" s="1"/>
  <c r="Z27" i="22"/>
  <c r="Y61" i="22"/>
  <c r="Y95" i="22" s="1"/>
  <c r="X41" i="22"/>
  <c r="X75" i="22" s="1"/>
  <c r="X39" i="22"/>
  <c r="X40" i="22"/>
  <c r="X74" i="22" s="1"/>
  <c r="X42" i="22"/>
  <c r="X76" i="22" s="1"/>
  <c r="X43" i="22"/>
  <c r="X77" i="22" s="1"/>
  <c r="X73" i="22" l="1"/>
  <c r="X70" i="22"/>
  <c r="AC14" i="22"/>
  <c r="AB48" i="22"/>
  <c r="AB82" i="22" s="1"/>
  <c r="Y56" i="22"/>
  <c r="Y90" i="22" s="1"/>
  <c r="Z22" i="22"/>
  <c r="Y66" i="22"/>
  <c r="Y100" i="22" s="1"/>
  <c r="Z32" i="22"/>
  <c r="Z18" i="22"/>
  <c r="Y52" i="22"/>
  <c r="Y86" i="22" s="1"/>
  <c r="Z17" i="22"/>
  <c r="Y51" i="22"/>
  <c r="Y85" i="22" s="1"/>
  <c r="Z24" i="22"/>
  <c r="Y58" i="22"/>
  <c r="Y92" i="22" s="1"/>
  <c r="Z15" i="22"/>
  <c r="Y49" i="22"/>
  <c r="Y83" i="22" s="1"/>
  <c r="Z19" i="22"/>
  <c r="Y53" i="22"/>
  <c r="Y87" i="22" s="1"/>
  <c r="Z30" i="22"/>
  <c r="Y64" i="22"/>
  <c r="Y98" i="22" s="1"/>
  <c r="Z26" i="22"/>
  <c r="Y60" i="22"/>
  <c r="Y94" i="22" s="1"/>
  <c r="Z21" i="22"/>
  <c r="Y55" i="22"/>
  <c r="Y89" i="22" s="1"/>
  <c r="Z23" i="22"/>
  <c r="Y57" i="22"/>
  <c r="Y91" i="22" s="1"/>
  <c r="Z28" i="22"/>
  <c r="Y62" i="22"/>
  <c r="Y96" i="22" s="1"/>
  <c r="Z34" i="22"/>
  <c r="Y68" i="22"/>
  <c r="Y102" i="22" s="1"/>
  <c r="AA20" i="22"/>
  <c r="Z54" i="22"/>
  <c r="Z88" i="22" s="1"/>
  <c r="AA25" i="22"/>
  <c r="Z59" i="22"/>
  <c r="Z93" i="22" s="1"/>
  <c r="AA12" i="22"/>
  <c r="Z46" i="22"/>
  <c r="Z80" i="22" s="1"/>
  <c r="AA11" i="22"/>
  <c r="Z45" i="22"/>
  <c r="Z79" i="22" s="1"/>
  <c r="AA16" i="22"/>
  <c r="Z50" i="22"/>
  <c r="Z84" i="22" s="1"/>
  <c r="AA29" i="22"/>
  <c r="Z63" i="22"/>
  <c r="Z97" i="22" s="1"/>
  <c r="AA27" i="22"/>
  <c r="Z61" i="22"/>
  <c r="Z95" i="22" s="1"/>
  <c r="AA31" i="22"/>
  <c r="Z65" i="22"/>
  <c r="Z99" i="22" s="1"/>
  <c r="AA33" i="22"/>
  <c r="Z67" i="22"/>
  <c r="Z101" i="22" s="1"/>
  <c r="Y43" i="22"/>
  <c r="Y77" i="22" s="1"/>
  <c r="Y42" i="22"/>
  <c r="Y76" i="22" s="1"/>
  <c r="Y40" i="22"/>
  <c r="Y74" i="22" s="1"/>
  <c r="Y39" i="22"/>
  <c r="Y41" i="22"/>
  <c r="Y75" i="22" s="1"/>
  <c r="Y73" i="22" l="1"/>
  <c r="Y70" i="22"/>
  <c r="AD14" i="22"/>
  <c r="AC48" i="22"/>
  <c r="AC82" i="22" s="1"/>
  <c r="Z66" i="22"/>
  <c r="Z100" i="22" s="1"/>
  <c r="AA32" i="22"/>
  <c r="Z56" i="22"/>
  <c r="Z90" i="22" s="1"/>
  <c r="AA22" i="22"/>
  <c r="AA34" i="22"/>
  <c r="Z68" i="22"/>
  <c r="Z102" i="22" s="1"/>
  <c r="AA28" i="22"/>
  <c r="Z62" i="22"/>
  <c r="Z96" i="22" s="1"/>
  <c r="AA23" i="22"/>
  <c r="Z57" i="22"/>
  <c r="Z91" i="22" s="1"/>
  <c r="AA21" i="22"/>
  <c r="Z55" i="22"/>
  <c r="Z89" i="22" s="1"/>
  <c r="AA26" i="22"/>
  <c r="Z60" i="22"/>
  <c r="Z94" i="22" s="1"/>
  <c r="AA30" i="22"/>
  <c r="Z64" i="22"/>
  <c r="Z98" i="22" s="1"/>
  <c r="AA19" i="22"/>
  <c r="Z53" i="22"/>
  <c r="Z87" i="22" s="1"/>
  <c r="AA15" i="22"/>
  <c r="Z49" i="22"/>
  <c r="Z83" i="22" s="1"/>
  <c r="AA24" i="22"/>
  <c r="Z58" i="22"/>
  <c r="Z92" i="22" s="1"/>
  <c r="AA17" i="22"/>
  <c r="Z51" i="22"/>
  <c r="Z85" i="22" s="1"/>
  <c r="AA18" i="22"/>
  <c r="Z52" i="22"/>
  <c r="Z86" i="22" s="1"/>
  <c r="AB25" i="22"/>
  <c r="AA59" i="22"/>
  <c r="AA93" i="22" s="1"/>
  <c r="AB20" i="22"/>
  <c r="AA54" i="22"/>
  <c r="AA88" i="22" s="1"/>
  <c r="AB12" i="22"/>
  <c r="AA46" i="22"/>
  <c r="AA80" i="22" s="1"/>
  <c r="AB11" i="22"/>
  <c r="AA45" i="22"/>
  <c r="AA79" i="22" s="1"/>
  <c r="AB29" i="22"/>
  <c r="AA63" i="22"/>
  <c r="AA97" i="22" s="1"/>
  <c r="AB16" i="22"/>
  <c r="AA50" i="22"/>
  <c r="AA84" i="22" s="1"/>
  <c r="AB33" i="22"/>
  <c r="AA67" i="22"/>
  <c r="AA101" i="22" s="1"/>
  <c r="AB31" i="22"/>
  <c r="AA65" i="22"/>
  <c r="AA99" i="22" s="1"/>
  <c r="AB27" i="22"/>
  <c r="AA61" i="22"/>
  <c r="AA95" i="22" s="1"/>
  <c r="Z41" i="22"/>
  <c r="Z75" i="22" s="1"/>
  <c r="Z39" i="22"/>
  <c r="Z40" i="22"/>
  <c r="Z74" i="22" s="1"/>
  <c r="Z42" i="22"/>
  <c r="Z76" i="22" s="1"/>
  <c r="Z43" i="22"/>
  <c r="Z77" i="22" s="1"/>
  <c r="Z73" i="22" l="1"/>
  <c r="Z70" i="22"/>
  <c r="AE14" i="22"/>
  <c r="AD48" i="22"/>
  <c r="AD82" i="22" s="1"/>
  <c r="AB22" i="22"/>
  <c r="AA56" i="22"/>
  <c r="AA90" i="22" s="1"/>
  <c r="AB32" i="22"/>
  <c r="AA66" i="22"/>
  <c r="AA100" i="22" s="1"/>
  <c r="AB18" i="22"/>
  <c r="AA52" i="22"/>
  <c r="AA86" i="22" s="1"/>
  <c r="AB17" i="22"/>
  <c r="AA51" i="22"/>
  <c r="AA85" i="22" s="1"/>
  <c r="AB24" i="22"/>
  <c r="AA58" i="22"/>
  <c r="AA92" i="22" s="1"/>
  <c r="AB15" i="22"/>
  <c r="AA49" i="22"/>
  <c r="AA83" i="22" s="1"/>
  <c r="AB19" i="22"/>
  <c r="AA53" i="22"/>
  <c r="AA87" i="22" s="1"/>
  <c r="AB30" i="22"/>
  <c r="AA64" i="22"/>
  <c r="AA98" i="22" s="1"/>
  <c r="AB26" i="22"/>
  <c r="AA60" i="22"/>
  <c r="AA94" i="22" s="1"/>
  <c r="AB21" i="22"/>
  <c r="AA55" i="22"/>
  <c r="AA89" i="22" s="1"/>
  <c r="AB23" i="22"/>
  <c r="AA57" i="22"/>
  <c r="AA91" i="22" s="1"/>
  <c r="AB28" i="22"/>
  <c r="AA62" i="22"/>
  <c r="AA96" i="22" s="1"/>
  <c r="AB34" i="22"/>
  <c r="AA68" i="22"/>
  <c r="AA102" i="22" s="1"/>
  <c r="AC20" i="22"/>
  <c r="AB54" i="22"/>
  <c r="AB88" i="22" s="1"/>
  <c r="AC25" i="22"/>
  <c r="AB59" i="22"/>
  <c r="AB93" i="22" s="1"/>
  <c r="AC12" i="22"/>
  <c r="AB46" i="22"/>
  <c r="AB80" i="22" s="1"/>
  <c r="AC11" i="22"/>
  <c r="AB45" i="22"/>
  <c r="AB79" i="22" s="1"/>
  <c r="AC16" i="22"/>
  <c r="AB50" i="22"/>
  <c r="AB84" i="22" s="1"/>
  <c r="AC29" i="22"/>
  <c r="AB63" i="22"/>
  <c r="AB97" i="22" s="1"/>
  <c r="AC27" i="22"/>
  <c r="AB61" i="22"/>
  <c r="AB95" i="22" s="1"/>
  <c r="AC31" i="22"/>
  <c r="AB65" i="22"/>
  <c r="AB99" i="22" s="1"/>
  <c r="AC33" i="22"/>
  <c r="AB67" i="22"/>
  <c r="AB101" i="22" s="1"/>
  <c r="AA43" i="22"/>
  <c r="AA77" i="22" s="1"/>
  <c r="AA42" i="22"/>
  <c r="AA76" i="22" s="1"/>
  <c r="AA40" i="22"/>
  <c r="AA74" i="22" s="1"/>
  <c r="AA39" i="22"/>
  <c r="AA41" i="22"/>
  <c r="AA75" i="22" s="1"/>
  <c r="AA73" i="22" l="1"/>
  <c r="AA70" i="22"/>
  <c r="AF14" i="22"/>
  <c r="AE48" i="22"/>
  <c r="AE82" i="22" s="1"/>
  <c r="AC34" i="22"/>
  <c r="AB68" i="22"/>
  <c r="AB102" i="22" s="1"/>
  <c r="AC28" i="22"/>
  <c r="AB62" i="22"/>
  <c r="AB96" i="22" s="1"/>
  <c r="AC23" i="22"/>
  <c r="AB57" i="22"/>
  <c r="AB91" i="22" s="1"/>
  <c r="AC21" i="22"/>
  <c r="AB55" i="22"/>
  <c r="AB89" i="22" s="1"/>
  <c r="AC26" i="22"/>
  <c r="AB60" i="22"/>
  <c r="AB94" i="22" s="1"/>
  <c r="AC30" i="22"/>
  <c r="AB64" i="22"/>
  <c r="AB98" i="22" s="1"/>
  <c r="AC19" i="22"/>
  <c r="AB53" i="22"/>
  <c r="AB87" i="22" s="1"/>
  <c r="AC15" i="22"/>
  <c r="AB49" i="22"/>
  <c r="AB83" i="22" s="1"/>
  <c r="AC24" i="22"/>
  <c r="AB58" i="22"/>
  <c r="AB92" i="22" s="1"/>
  <c r="AC17" i="22"/>
  <c r="AB51" i="22"/>
  <c r="AB85" i="22" s="1"/>
  <c r="AC18" i="22"/>
  <c r="AB52" i="22"/>
  <c r="AB86" i="22" s="1"/>
  <c r="AC32" i="22"/>
  <c r="AB66" i="22"/>
  <c r="AB100" i="22" s="1"/>
  <c r="AB56" i="22"/>
  <c r="AB90" i="22" s="1"/>
  <c r="AC22" i="22"/>
  <c r="AD25" i="22"/>
  <c r="AC59" i="22"/>
  <c r="AC93" i="22" s="1"/>
  <c r="AD20" i="22"/>
  <c r="AC54" i="22"/>
  <c r="AC88" i="22" s="1"/>
  <c r="AD12" i="22"/>
  <c r="AC46" i="22"/>
  <c r="AC80" i="22" s="1"/>
  <c r="AD11" i="22"/>
  <c r="AC45" i="22"/>
  <c r="AC79" i="22" s="1"/>
  <c r="AD29" i="22"/>
  <c r="AC63" i="22"/>
  <c r="AC97" i="22" s="1"/>
  <c r="AD16" i="22"/>
  <c r="AC50" i="22"/>
  <c r="AC84" i="22" s="1"/>
  <c r="AD33" i="22"/>
  <c r="AC67" i="22"/>
  <c r="AC101" i="22" s="1"/>
  <c r="AD31" i="22"/>
  <c r="AC65" i="22"/>
  <c r="AC99" i="22" s="1"/>
  <c r="AD27" i="22"/>
  <c r="AC61" i="22"/>
  <c r="AC95" i="22" s="1"/>
  <c r="AB41" i="22"/>
  <c r="AB75" i="22" s="1"/>
  <c r="AB39" i="22"/>
  <c r="AB40" i="22"/>
  <c r="AB74" i="22" s="1"/>
  <c r="AB42" i="22"/>
  <c r="AB76" i="22" s="1"/>
  <c r="AB43" i="22"/>
  <c r="AB77" i="22" s="1"/>
  <c r="AB73" i="22" l="1"/>
  <c r="AB70" i="22"/>
  <c r="AG14" i="22"/>
  <c r="AF48" i="22"/>
  <c r="AF82" i="22" s="1"/>
  <c r="AD22" i="22"/>
  <c r="AC56" i="22"/>
  <c r="AC90" i="22" s="1"/>
  <c r="AD32" i="22"/>
  <c r="AC66" i="22"/>
  <c r="AC100" i="22" s="1"/>
  <c r="AD18" i="22"/>
  <c r="AC52" i="22"/>
  <c r="AC86" i="22" s="1"/>
  <c r="AD17" i="22"/>
  <c r="AC51" i="22"/>
  <c r="AC85" i="22" s="1"/>
  <c r="AD24" i="22"/>
  <c r="AC58" i="22"/>
  <c r="AC92" i="22" s="1"/>
  <c r="AD15" i="22"/>
  <c r="AC49" i="22"/>
  <c r="AC83" i="22" s="1"/>
  <c r="AD19" i="22"/>
  <c r="AC53" i="22"/>
  <c r="AC87" i="22" s="1"/>
  <c r="AD30" i="22"/>
  <c r="AC64" i="22"/>
  <c r="AC98" i="22" s="1"/>
  <c r="AD26" i="22"/>
  <c r="AC60" i="22"/>
  <c r="AC94" i="22" s="1"/>
  <c r="AD21" i="22"/>
  <c r="AC55" i="22"/>
  <c r="AC89" i="22" s="1"/>
  <c r="AD23" i="22"/>
  <c r="AC57" i="22"/>
  <c r="AC91" i="22" s="1"/>
  <c r="AD28" i="22"/>
  <c r="AC62" i="22"/>
  <c r="AC96" i="22" s="1"/>
  <c r="AD34" i="22"/>
  <c r="AC68" i="22"/>
  <c r="AC102" i="22" s="1"/>
  <c r="AE20" i="22"/>
  <c r="AD54" i="22"/>
  <c r="AD88" i="22" s="1"/>
  <c r="AE25" i="22"/>
  <c r="AD59" i="22"/>
  <c r="AD93" i="22" s="1"/>
  <c r="AE12" i="22"/>
  <c r="AD46" i="22"/>
  <c r="AD80" i="22" s="1"/>
  <c r="AE11" i="22"/>
  <c r="AD45" i="22"/>
  <c r="AD79" i="22" s="1"/>
  <c r="AE16" i="22"/>
  <c r="AD50" i="22"/>
  <c r="AD84" i="22" s="1"/>
  <c r="AE29" i="22"/>
  <c r="AD63" i="22"/>
  <c r="AD97" i="22" s="1"/>
  <c r="AE27" i="22"/>
  <c r="AD61" i="22"/>
  <c r="AD95" i="22" s="1"/>
  <c r="AE31" i="22"/>
  <c r="AD65" i="22"/>
  <c r="AD99" i="22" s="1"/>
  <c r="AE33" i="22"/>
  <c r="AD67" i="22"/>
  <c r="AD101" i="22" s="1"/>
  <c r="AC43" i="22"/>
  <c r="AC77" i="22" s="1"/>
  <c r="AC42" i="22"/>
  <c r="AC76" i="22" s="1"/>
  <c r="AC40" i="22"/>
  <c r="AC74" i="22" s="1"/>
  <c r="AC39" i="22"/>
  <c r="AC41" i="22"/>
  <c r="AC75" i="22" s="1"/>
  <c r="AC73" i="22" l="1"/>
  <c r="AC70" i="22"/>
  <c r="AH14" i="22"/>
  <c r="AG48" i="22"/>
  <c r="AG82" i="22" s="1"/>
  <c r="AE34" i="22"/>
  <c r="AD68" i="22"/>
  <c r="AD102" i="22" s="1"/>
  <c r="AE28" i="22"/>
  <c r="AD62" i="22"/>
  <c r="AD96" i="22" s="1"/>
  <c r="AE23" i="22"/>
  <c r="AD57" i="22"/>
  <c r="AD91" i="22" s="1"/>
  <c r="AE21" i="22"/>
  <c r="AD55" i="22"/>
  <c r="AD89" i="22" s="1"/>
  <c r="AE26" i="22"/>
  <c r="AD60" i="22"/>
  <c r="AD94" i="22" s="1"/>
  <c r="AE30" i="22"/>
  <c r="AD64" i="22"/>
  <c r="AD98" i="22" s="1"/>
  <c r="AE19" i="22"/>
  <c r="AD53" i="22"/>
  <c r="AD87" i="22" s="1"/>
  <c r="AE15" i="22"/>
  <c r="AD49" i="22"/>
  <c r="AD83" i="22" s="1"/>
  <c r="AE24" i="22"/>
  <c r="AD58" i="22"/>
  <c r="AD92" i="22" s="1"/>
  <c r="AE17" i="22"/>
  <c r="AD51" i="22"/>
  <c r="AD85" i="22" s="1"/>
  <c r="AE18" i="22"/>
  <c r="AD52" i="22"/>
  <c r="AD86" i="22" s="1"/>
  <c r="AE32" i="22"/>
  <c r="AD66" i="22"/>
  <c r="AD100" i="22" s="1"/>
  <c r="AE22" i="22"/>
  <c r="AD56" i="22"/>
  <c r="AD90" i="22" s="1"/>
  <c r="AF25" i="22"/>
  <c r="AE59" i="22"/>
  <c r="AE93" i="22" s="1"/>
  <c r="AF20" i="22"/>
  <c r="AE54" i="22"/>
  <c r="AE88" i="22" s="1"/>
  <c r="AF12" i="22"/>
  <c r="AE46" i="22"/>
  <c r="AE80" i="22" s="1"/>
  <c r="AF11" i="22"/>
  <c r="AE45" i="22"/>
  <c r="AE79" i="22" s="1"/>
  <c r="AF29" i="22"/>
  <c r="AE63" i="22"/>
  <c r="AE97" i="22" s="1"/>
  <c r="AF16" i="22"/>
  <c r="AE50" i="22"/>
  <c r="AE84" i="22" s="1"/>
  <c r="AF33" i="22"/>
  <c r="AE67" i="22"/>
  <c r="AE101" i="22" s="1"/>
  <c r="AF31" i="22"/>
  <c r="AE65" i="22"/>
  <c r="AE99" i="22" s="1"/>
  <c r="AF27" i="22"/>
  <c r="AE61" i="22"/>
  <c r="AE95" i="22" s="1"/>
  <c r="AD41" i="22"/>
  <c r="AD75" i="22" s="1"/>
  <c r="AD39" i="22"/>
  <c r="AD40" i="22"/>
  <c r="AD74" i="22" s="1"/>
  <c r="AD42" i="22"/>
  <c r="AD76" i="22" s="1"/>
  <c r="AD43" i="22"/>
  <c r="AD77" i="22" s="1"/>
  <c r="AD73" i="22" l="1"/>
  <c r="AD70" i="22"/>
  <c r="AI14" i="22"/>
  <c r="AH48" i="22"/>
  <c r="AH82" i="22" s="1"/>
  <c r="AF22" i="22"/>
  <c r="AE56" i="22"/>
  <c r="AE90" i="22" s="1"/>
  <c r="AF32" i="22"/>
  <c r="AE66" i="22"/>
  <c r="AE100" i="22" s="1"/>
  <c r="AF18" i="22"/>
  <c r="AE52" i="22"/>
  <c r="AE86" i="22" s="1"/>
  <c r="AF17" i="22"/>
  <c r="AE51" i="22"/>
  <c r="AE85" i="22" s="1"/>
  <c r="AF24" i="22"/>
  <c r="AE58" i="22"/>
  <c r="AE92" i="22" s="1"/>
  <c r="AF15" i="22"/>
  <c r="AE49" i="22"/>
  <c r="AE83" i="22" s="1"/>
  <c r="AF19" i="22"/>
  <c r="AE53" i="22"/>
  <c r="AE87" i="22" s="1"/>
  <c r="AF30" i="22"/>
  <c r="AE64" i="22"/>
  <c r="AE98" i="22" s="1"/>
  <c r="AF26" i="22"/>
  <c r="AE60" i="22"/>
  <c r="AE94" i="22" s="1"/>
  <c r="AF21" i="22"/>
  <c r="AE55" i="22"/>
  <c r="AE89" i="22" s="1"/>
  <c r="AF23" i="22"/>
  <c r="AE57" i="22"/>
  <c r="AE91" i="22" s="1"/>
  <c r="AF28" i="22"/>
  <c r="AE62" i="22"/>
  <c r="AE96" i="22" s="1"/>
  <c r="AF34" i="22"/>
  <c r="AE68" i="22"/>
  <c r="AE102" i="22" s="1"/>
  <c r="AG20" i="22"/>
  <c r="AF54" i="22"/>
  <c r="AF88" i="22" s="1"/>
  <c r="AG25" i="22"/>
  <c r="AF59" i="22"/>
  <c r="AF93" i="22" s="1"/>
  <c r="AG12" i="22"/>
  <c r="AF46" i="22"/>
  <c r="AF80" i="22" s="1"/>
  <c r="AG11" i="22"/>
  <c r="AF45" i="22"/>
  <c r="AF79" i="22" s="1"/>
  <c r="AG16" i="22"/>
  <c r="AF50" i="22"/>
  <c r="AF84" i="22" s="1"/>
  <c r="AG29" i="22"/>
  <c r="AF63" i="22"/>
  <c r="AF97" i="22" s="1"/>
  <c r="AG27" i="22"/>
  <c r="AF61" i="22"/>
  <c r="AF95" i="22" s="1"/>
  <c r="AF65" i="22"/>
  <c r="AF99" i="22" s="1"/>
  <c r="AG31" i="22"/>
  <c r="AG33" i="22"/>
  <c r="AF67" i="22"/>
  <c r="AF101" i="22" s="1"/>
  <c r="AE43" i="22"/>
  <c r="AE77" i="22" s="1"/>
  <c r="AE42" i="22"/>
  <c r="AE76" i="22" s="1"/>
  <c r="AE40" i="22"/>
  <c r="AE74" i="22" s="1"/>
  <c r="AE39" i="22"/>
  <c r="AE41" i="22"/>
  <c r="AE75" i="22" s="1"/>
  <c r="AE73" i="22" l="1"/>
  <c r="AE70" i="22"/>
  <c r="AJ14" i="22"/>
  <c r="AI48" i="22"/>
  <c r="AI82" i="22" s="1"/>
  <c r="AG34" i="22"/>
  <c r="AF68" i="22"/>
  <c r="AF102" i="22" s="1"/>
  <c r="AG28" i="22"/>
  <c r="AF62" i="22"/>
  <c r="AF96" i="22" s="1"/>
  <c r="AG23" i="22"/>
  <c r="AF57" i="22"/>
  <c r="AF91" i="22" s="1"/>
  <c r="AG21" i="22"/>
  <c r="AF55" i="22"/>
  <c r="AF89" i="22" s="1"/>
  <c r="AG26" i="22"/>
  <c r="AF60" i="22"/>
  <c r="AF94" i="22" s="1"/>
  <c r="AG30" i="22"/>
  <c r="AF64" i="22"/>
  <c r="AF98" i="22" s="1"/>
  <c r="AG19" i="22"/>
  <c r="AF53" i="22"/>
  <c r="AF87" i="22" s="1"/>
  <c r="AG15" i="22"/>
  <c r="AF49" i="22"/>
  <c r="AF83" i="22" s="1"/>
  <c r="AG24" i="22"/>
  <c r="AF58" i="22"/>
  <c r="AF92" i="22" s="1"/>
  <c r="AG17" i="22"/>
  <c r="AF51" i="22"/>
  <c r="AF85" i="22" s="1"/>
  <c r="AG18" i="22"/>
  <c r="AF52" i="22"/>
  <c r="AF86" i="22" s="1"/>
  <c r="AG32" i="22"/>
  <c r="AF66" i="22"/>
  <c r="AF100" i="22" s="1"/>
  <c r="AG22" i="22"/>
  <c r="AF56" i="22"/>
  <c r="AF90" i="22" s="1"/>
  <c r="AH25" i="22"/>
  <c r="AG59" i="22"/>
  <c r="AG93" i="22" s="1"/>
  <c r="AH20" i="22"/>
  <c r="AG54" i="22"/>
  <c r="AG88" i="22" s="1"/>
  <c r="AH12" i="22"/>
  <c r="AG46" i="22"/>
  <c r="AG80" i="22" s="1"/>
  <c r="AH11" i="22"/>
  <c r="AG45" i="22"/>
  <c r="AG79" i="22" s="1"/>
  <c r="AH29" i="22"/>
  <c r="AG63" i="22"/>
  <c r="AG97" i="22" s="1"/>
  <c r="AH16" i="22"/>
  <c r="AG50" i="22"/>
  <c r="AG84" i="22" s="1"/>
  <c r="AG65" i="22"/>
  <c r="AG99" i="22" s="1"/>
  <c r="AH31" i="22"/>
  <c r="AH33" i="22"/>
  <c r="AG67" i="22"/>
  <c r="AG101" i="22" s="1"/>
  <c r="AH27" i="22"/>
  <c r="AG61" i="22"/>
  <c r="AG95" i="22" s="1"/>
  <c r="AF41" i="22"/>
  <c r="AF75" i="22" s="1"/>
  <c r="AF39" i="22"/>
  <c r="AF40" i="22"/>
  <c r="AF74" i="22" s="1"/>
  <c r="AF42" i="22"/>
  <c r="AF76" i="22" s="1"/>
  <c r="AF43" i="22"/>
  <c r="AF77" i="22" s="1"/>
  <c r="AF73" i="22" l="1"/>
  <c r="AF70" i="22"/>
  <c r="AK14" i="22"/>
  <c r="AJ48" i="22"/>
  <c r="AJ82" i="22" s="1"/>
  <c r="AH22" i="22"/>
  <c r="AG56" i="22"/>
  <c r="AG90" i="22" s="1"/>
  <c r="AH32" i="22"/>
  <c r="AG66" i="22"/>
  <c r="AG100" i="22" s="1"/>
  <c r="AH18" i="22"/>
  <c r="AG52" i="22"/>
  <c r="AG86" i="22" s="1"/>
  <c r="AH17" i="22"/>
  <c r="AG51" i="22"/>
  <c r="AG85" i="22" s="1"/>
  <c r="AH24" i="22"/>
  <c r="AG58" i="22"/>
  <c r="AG92" i="22" s="1"/>
  <c r="AH15" i="22"/>
  <c r="AG49" i="22"/>
  <c r="AG83" i="22" s="1"/>
  <c r="AH19" i="22"/>
  <c r="AG53" i="22"/>
  <c r="AG87" i="22" s="1"/>
  <c r="AH30" i="22"/>
  <c r="AG64" i="22"/>
  <c r="AG98" i="22" s="1"/>
  <c r="AH26" i="22"/>
  <c r="AG60" i="22"/>
  <c r="AG94" i="22" s="1"/>
  <c r="AH21" i="22"/>
  <c r="AG55" i="22"/>
  <c r="AG89" i="22" s="1"/>
  <c r="AH23" i="22"/>
  <c r="AG57" i="22"/>
  <c r="AG91" i="22" s="1"/>
  <c r="AH28" i="22"/>
  <c r="AG62" i="22"/>
  <c r="AG96" i="22" s="1"/>
  <c r="AH34" i="22"/>
  <c r="AG68" i="22"/>
  <c r="AG102" i="22" s="1"/>
  <c r="AI20" i="22"/>
  <c r="AH54" i="22"/>
  <c r="AH88" i="22" s="1"/>
  <c r="AI25" i="22"/>
  <c r="AH59" i="22"/>
  <c r="AH93" i="22" s="1"/>
  <c r="AI12" i="22"/>
  <c r="AH46" i="22"/>
  <c r="AH80" i="22" s="1"/>
  <c r="AI11" i="22"/>
  <c r="AH45" i="22"/>
  <c r="AH79" i="22" s="1"/>
  <c r="AI16" i="22"/>
  <c r="AH50" i="22"/>
  <c r="AH84" i="22" s="1"/>
  <c r="AI29" i="22"/>
  <c r="AH63" i="22"/>
  <c r="AH97" i="22" s="1"/>
  <c r="AH65" i="22"/>
  <c r="AH99" i="22" s="1"/>
  <c r="AI31" i="22"/>
  <c r="AI27" i="22"/>
  <c r="AH61" i="22"/>
  <c r="AH95" i="22" s="1"/>
  <c r="AI33" i="22"/>
  <c r="AH67" i="22"/>
  <c r="AH101" i="22" s="1"/>
  <c r="AG43" i="22"/>
  <c r="AG77" i="22" s="1"/>
  <c r="AG42" i="22"/>
  <c r="AG76" i="22" s="1"/>
  <c r="AG40" i="22"/>
  <c r="AG74" i="22" s="1"/>
  <c r="AG39" i="22"/>
  <c r="AG41" i="22"/>
  <c r="AG75" i="22" s="1"/>
  <c r="AG73" i="22" l="1"/>
  <c r="AG70" i="22"/>
  <c r="AL14" i="22"/>
  <c r="AK48" i="22"/>
  <c r="AK82" i="22" s="1"/>
  <c r="AI34" i="22"/>
  <c r="AH68" i="22"/>
  <c r="AH102" i="22" s="1"/>
  <c r="AI28" i="22"/>
  <c r="AH62" i="22"/>
  <c r="AH96" i="22" s="1"/>
  <c r="AI23" i="22"/>
  <c r="AH57" i="22"/>
  <c r="AH91" i="22" s="1"/>
  <c r="AI21" i="22"/>
  <c r="AH55" i="22"/>
  <c r="AH89" i="22" s="1"/>
  <c r="AI26" i="22"/>
  <c r="AH60" i="22"/>
  <c r="AH94" i="22" s="1"/>
  <c r="AI30" i="22"/>
  <c r="AH64" i="22"/>
  <c r="AH98" i="22" s="1"/>
  <c r="AI19" i="22"/>
  <c r="AH53" i="22"/>
  <c r="AH87" i="22" s="1"/>
  <c r="AI15" i="22"/>
  <c r="AH49" i="22"/>
  <c r="AH83" i="22" s="1"/>
  <c r="AI24" i="22"/>
  <c r="AH58" i="22"/>
  <c r="AH92" i="22" s="1"/>
  <c r="AI17" i="22"/>
  <c r="AH51" i="22"/>
  <c r="AH85" i="22" s="1"/>
  <c r="AI18" i="22"/>
  <c r="AH52" i="22"/>
  <c r="AH86" i="22" s="1"/>
  <c r="AI32" i="22"/>
  <c r="AH66" i="22"/>
  <c r="AH100" i="22" s="1"/>
  <c r="AI22" i="22"/>
  <c r="AH56" i="22"/>
  <c r="AH90" i="22" s="1"/>
  <c r="AJ25" i="22"/>
  <c r="AI59" i="22"/>
  <c r="AI93" i="22" s="1"/>
  <c r="AJ20" i="22"/>
  <c r="AI54" i="22"/>
  <c r="AI88" i="22" s="1"/>
  <c r="AJ12" i="22"/>
  <c r="AI46" i="22"/>
  <c r="AI80" i="22" s="1"/>
  <c r="AJ11" i="22"/>
  <c r="AI45" i="22"/>
  <c r="AI79" i="22" s="1"/>
  <c r="AJ29" i="22"/>
  <c r="AI63" i="22"/>
  <c r="AI97" i="22" s="1"/>
  <c r="AJ16" i="22"/>
  <c r="AI50" i="22"/>
  <c r="AI84" i="22" s="1"/>
  <c r="AI65" i="22"/>
  <c r="AI99" i="22" s="1"/>
  <c r="AJ31" i="22"/>
  <c r="AJ33" i="22"/>
  <c r="AI67" i="22"/>
  <c r="AI101" i="22" s="1"/>
  <c r="AJ27" i="22"/>
  <c r="AI61" i="22"/>
  <c r="AI95" i="22" s="1"/>
  <c r="AH41" i="22"/>
  <c r="AH75" i="22" s="1"/>
  <c r="AH39" i="22"/>
  <c r="AH40" i="22"/>
  <c r="AH74" i="22" s="1"/>
  <c r="AH42" i="22"/>
  <c r="AH76" i="22" s="1"/>
  <c r="AH43" i="22"/>
  <c r="AH77" i="22" s="1"/>
  <c r="AH73" i="22" l="1"/>
  <c r="AH70" i="22"/>
  <c r="AM14" i="22"/>
  <c r="AL48" i="22"/>
  <c r="AL82" i="22" s="1"/>
  <c r="AJ22" i="22"/>
  <c r="AI56" i="22"/>
  <c r="AI90" i="22" s="1"/>
  <c r="AJ32" i="22"/>
  <c r="AI66" i="22"/>
  <c r="AI100" i="22" s="1"/>
  <c r="AJ18" i="22"/>
  <c r="AI52" i="22"/>
  <c r="AI86" i="22" s="1"/>
  <c r="AJ17" i="22"/>
  <c r="AI51" i="22"/>
  <c r="AI85" i="22" s="1"/>
  <c r="AJ24" i="22"/>
  <c r="AI58" i="22"/>
  <c r="AI92" i="22" s="1"/>
  <c r="AJ15" i="22"/>
  <c r="AI49" i="22"/>
  <c r="AI83" i="22" s="1"/>
  <c r="AJ19" i="22"/>
  <c r="AI53" i="22"/>
  <c r="AI87" i="22" s="1"/>
  <c r="AJ30" i="22"/>
  <c r="AI64" i="22"/>
  <c r="AI98" i="22" s="1"/>
  <c r="AJ26" i="22"/>
  <c r="AI60" i="22"/>
  <c r="AI94" i="22" s="1"/>
  <c r="AJ21" i="22"/>
  <c r="AI55" i="22"/>
  <c r="AI89" i="22" s="1"/>
  <c r="AJ23" i="22"/>
  <c r="AI57" i="22"/>
  <c r="AI91" i="22" s="1"/>
  <c r="AJ28" i="22"/>
  <c r="AI62" i="22"/>
  <c r="AI96" i="22" s="1"/>
  <c r="AJ34" i="22"/>
  <c r="AI68" i="22"/>
  <c r="AI102" i="22" s="1"/>
  <c r="AK20" i="22"/>
  <c r="AJ54" i="22"/>
  <c r="AJ88" i="22" s="1"/>
  <c r="AK25" i="22"/>
  <c r="AJ59" i="22"/>
  <c r="AJ93" i="22" s="1"/>
  <c r="AK12" i="22"/>
  <c r="AJ46" i="22"/>
  <c r="AJ80" i="22" s="1"/>
  <c r="AK11" i="22"/>
  <c r="AJ45" i="22"/>
  <c r="AJ79" i="22" s="1"/>
  <c r="AK16" i="22"/>
  <c r="AJ50" i="22"/>
  <c r="AJ84" i="22" s="1"/>
  <c r="AK29" i="22"/>
  <c r="AJ63" i="22"/>
  <c r="AJ97" i="22" s="1"/>
  <c r="AJ65" i="22"/>
  <c r="AJ99" i="22" s="1"/>
  <c r="AK31" i="22"/>
  <c r="AK27" i="22"/>
  <c r="AJ61" i="22"/>
  <c r="AJ95" i="22" s="1"/>
  <c r="AK33" i="22"/>
  <c r="AJ67" i="22"/>
  <c r="AJ101" i="22" s="1"/>
  <c r="AI43" i="22"/>
  <c r="AI77" i="22" s="1"/>
  <c r="AI42" i="22"/>
  <c r="AI76" i="22" s="1"/>
  <c r="AI40" i="22"/>
  <c r="AI74" i="22" s="1"/>
  <c r="AI39" i="22"/>
  <c r="AI41" i="22"/>
  <c r="AI75" i="22" s="1"/>
  <c r="AI73" i="22" l="1"/>
  <c r="AI70" i="22"/>
  <c r="AN14" i="22"/>
  <c r="AM48" i="22"/>
  <c r="AM82" i="22" s="1"/>
  <c r="AK34" i="22"/>
  <c r="AJ68" i="22"/>
  <c r="AJ102" i="22" s="1"/>
  <c r="AK28" i="22"/>
  <c r="AJ62" i="22"/>
  <c r="AJ96" i="22" s="1"/>
  <c r="AK23" i="22"/>
  <c r="AJ57" i="22"/>
  <c r="AJ91" i="22" s="1"/>
  <c r="AK21" i="22"/>
  <c r="AJ55" i="22"/>
  <c r="AJ89" i="22" s="1"/>
  <c r="AK26" i="22"/>
  <c r="AJ60" i="22"/>
  <c r="AJ94" i="22" s="1"/>
  <c r="AK30" i="22"/>
  <c r="AJ64" i="22"/>
  <c r="AJ98" i="22" s="1"/>
  <c r="AK19" i="22"/>
  <c r="AJ53" i="22"/>
  <c r="AJ87" i="22" s="1"/>
  <c r="AK15" i="22"/>
  <c r="AJ49" i="22"/>
  <c r="AJ83" i="22" s="1"/>
  <c r="AK24" i="22"/>
  <c r="AJ58" i="22"/>
  <c r="AJ92" i="22" s="1"/>
  <c r="AK17" i="22"/>
  <c r="AJ51" i="22"/>
  <c r="AJ85" i="22" s="1"/>
  <c r="AK18" i="22"/>
  <c r="AJ52" i="22"/>
  <c r="AJ86" i="22" s="1"/>
  <c r="AK32" i="22"/>
  <c r="AJ66" i="22"/>
  <c r="AJ100" i="22" s="1"/>
  <c r="AK22" i="22"/>
  <c r="AJ56" i="22"/>
  <c r="AJ90" i="22" s="1"/>
  <c r="AL25" i="22"/>
  <c r="AK59" i="22"/>
  <c r="AK93" i="22" s="1"/>
  <c r="AL20" i="22"/>
  <c r="AK54" i="22"/>
  <c r="AK88" i="22" s="1"/>
  <c r="AL12" i="22"/>
  <c r="AK46" i="22"/>
  <c r="AK80" i="22" s="1"/>
  <c r="AL11" i="22"/>
  <c r="AK45" i="22"/>
  <c r="AK79" i="22" s="1"/>
  <c r="AL29" i="22"/>
  <c r="AK63" i="22"/>
  <c r="AK97" i="22" s="1"/>
  <c r="AL16" i="22"/>
  <c r="AK50" i="22"/>
  <c r="AK84" i="22" s="1"/>
  <c r="AL31" i="22"/>
  <c r="AK65" i="22"/>
  <c r="AK99" i="22" s="1"/>
  <c r="AL33" i="22"/>
  <c r="AK67" i="22"/>
  <c r="AK101" i="22" s="1"/>
  <c r="AL27" i="22"/>
  <c r="AK61" i="22"/>
  <c r="AK95" i="22" s="1"/>
  <c r="AJ41" i="22"/>
  <c r="AJ75" i="22" s="1"/>
  <c r="AJ39" i="22"/>
  <c r="AJ40" i="22"/>
  <c r="AJ74" i="22" s="1"/>
  <c r="AJ42" i="22"/>
  <c r="AJ76" i="22" s="1"/>
  <c r="AJ43" i="22"/>
  <c r="AJ77" i="22" s="1"/>
  <c r="AJ73" i="22" l="1"/>
  <c r="AJ70" i="22"/>
  <c r="AO14" i="22"/>
  <c r="AN48" i="22"/>
  <c r="AN82" i="22" s="1"/>
  <c r="AL22" i="22"/>
  <c r="AK56" i="22"/>
  <c r="AK90" i="22" s="1"/>
  <c r="AL32" i="22"/>
  <c r="AK66" i="22"/>
  <c r="AK100" i="22" s="1"/>
  <c r="AL18" i="22"/>
  <c r="AK52" i="22"/>
  <c r="AK86" i="22" s="1"/>
  <c r="AL17" i="22"/>
  <c r="AK51" i="22"/>
  <c r="AK85" i="22" s="1"/>
  <c r="AL24" i="22"/>
  <c r="AK58" i="22"/>
  <c r="AK92" i="22" s="1"/>
  <c r="AL15" i="22"/>
  <c r="AK49" i="22"/>
  <c r="AK83" i="22" s="1"/>
  <c r="AL19" i="22"/>
  <c r="AK53" i="22"/>
  <c r="AK87" i="22" s="1"/>
  <c r="AL30" i="22"/>
  <c r="AK64" i="22"/>
  <c r="AK98" i="22" s="1"/>
  <c r="AL26" i="22"/>
  <c r="AK60" i="22"/>
  <c r="AK94" i="22" s="1"/>
  <c r="AL21" i="22"/>
  <c r="AK55" i="22"/>
  <c r="AK89" i="22" s="1"/>
  <c r="AL23" i="22"/>
  <c r="AK57" i="22"/>
  <c r="AK91" i="22" s="1"/>
  <c r="AL28" i="22"/>
  <c r="AK62" i="22"/>
  <c r="AK96" i="22" s="1"/>
  <c r="AL34" i="22"/>
  <c r="AK68" i="22"/>
  <c r="AK102" i="22" s="1"/>
  <c r="AM20" i="22"/>
  <c r="AL54" i="22"/>
  <c r="AL88" i="22" s="1"/>
  <c r="AM25" i="22"/>
  <c r="AL59" i="22"/>
  <c r="AL93" i="22" s="1"/>
  <c r="AM12" i="22"/>
  <c r="AL46" i="22"/>
  <c r="AL80" i="22" s="1"/>
  <c r="AM11" i="22"/>
  <c r="AL45" i="22"/>
  <c r="AL79" i="22" s="1"/>
  <c r="AM16" i="22"/>
  <c r="AL50" i="22"/>
  <c r="AL84" i="22" s="1"/>
  <c r="AM29" i="22"/>
  <c r="AL63" i="22"/>
  <c r="AL97" i="22" s="1"/>
  <c r="AM27" i="22"/>
  <c r="AL61" i="22"/>
  <c r="AL95" i="22" s="1"/>
  <c r="AM33" i="22"/>
  <c r="AL67" i="22"/>
  <c r="AL101" i="22" s="1"/>
  <c r="AM31" i="22"/>
  <c r="AL65" i="22"/>
  <c r="AL99" i="22" s="1"/>
  <c r="AK43" i="22"/>
  <c r="AK77" i="22" s="1"/>
  <c r="AK42" i="22"/>
  <c r="AK76" i="22" s="1"/>
  <c r="AK40" i="22"/>
  <c r="AK74" i="22" s="1"/>
  <c r="AK39" i="22"/>
  <c r="AK41" i="22"/>
  <c r="AK75" i="22" s="1"/>
  <c r="AK73" i="22" l="1"/>
  <c r="AK70" i="22"/>
  <c r="AP14" i="22"/>
  <c r="AO48" i="22"/>
  <c r="AO82" i="22" s="1"/>
  <c r="AM34" i="22"/>
  <c r="AL68" i="22"/>
  <c r="AL102" i="22" s="1"/>
  <c r="AM28" i="22"/>
  <c r="AL62" i="22"/>
  <c r="AL96" i="22" s="1"/>
  <c r="AM23" i="22"/>
  <c r="AL57" i="22"/>
  <c r="AL91" i="22" s="1"/>
  <c r="AM21" i="22"/>
  <c r="AL55" i="22"/>
  <c r="AL89" i="22" s="1"/>
  <c r="AM26" i="22"/>
  <c r="AL60" i="22"/>
  <c r="AL94" i="22" s="1"/>
  <c r="AM30" i="22"/>
  <c r="AL64" i="22"/>
  <c r="AL98" i="22" s="1"/>
  <c r="AM19" i="22"/>
  <c r="AL53" i="22"/>
  <c r="AL87" i="22" s="1"/>
  <c r="AM15" i="22"/>
  <c r="AL49" i="22"/>
  <c r="AL83" i="22" s="1"/>
  <c r="AM24" i="22"/>
  <c r="AL58" i="22"/>
  <c r="AL92" i="22" s="1"/>
  <c r="AM17" i="22"/>
  <c r="AL51" i="22"/>
  <c r="AL85" i="22" s="1"/>
  <c r="AM18" i="22"/>
  <c r="AL52" i="22"/>
  <c r="AL86" i="22" s="1"/>
  <c r="AM32" i="22"/>
  <c r="AL66" i="22"/>
  <c r="AL100" i="22" s="1"/>
  <c r="AM22" i="22"/>
  <c r="AL56" i="22"/>
  <c r="AL90" i="22" s="1"/>
  <c r="AN25" i="22"/>
  <c r="AM59" i="22"/>
  <c r="AM93" i="22" s="1"/>
  <c r="AN20" i="22"/>
  <c r="AM54" i="22"/>
  <c r="AM88" i="22" s="1"/>
  <c r="AN12" i="22"/>
  <c r="AM46" i="22"/>
  <c r="AM80" i="22" s="1"/>
  <c r="AN11" i="22"/>
  <c r="AM45" i="22"/>
  <c r="AM79" i="22" s="1"/>
  <c r="AN29" i="22"/>
  <c r="AM63" i="22"/>
  <c r="AM97" i="22" s="1"/>
  <c r="AN16" i="22"/>
  <c r="AM50" i="22"/>
  <c r="AM84" i="22" s="1"/>
  <c r="AM65" i="22"/>
  <c r="AM99" i="22" s="1"/>
  <c r="AN31" i="22"/>
  <c r="AN33" i="22"/>
  <c r="AM67" i="22"/>
  <c r="AM101" i="22" s="1"/>
  <c r="AN27" i="22"/>
  <c r="AM61" i="22"/>
  <c r="AM95" i="22" s="1"/>
  <c r="AL41" i="22"/>
  <c r="AL75" i="22" s="1"/>
  <c r="AL39" i="22"/>
  <c r="AL40" i="22"/>
  <c r="AL74" i="22" s="1"/>
  <c r="AL42" i="22"/>
  <c r="AL76" i="22" s="1"/>
  <c r="AL43" i="22"/>
  <c r="AL77" i="22" s="1"/>
  <c r="AL73" i="22" l="1"/>
  <c r="AL70" i="22"/>
  <c r="AQ14" i="22"/>
  <c r="AP48" i="22"/>
  <c r="AP82" i="22" s="1"/>
  <c r="AN22" i="22"/>
  <c r="AM56" i="22"/>
  <c r="AM90" i="22" s="1"/>
  <c r="AN32" i="22"/>
  <c r="AM66" i="22"/>
  <c r="AM100" i="22" s="1"/>
  <c r="AN18" i="22"/>
  <c r="AM52" i="22"/>
  <c r="AM86" i="22" s="1"/>
  <c r="AN17" i="22"/>
  <c r="AM51" i="22"/>
  <c r="AM85" i="22" s="1"/>
  <c r="AN24" i="22"/>
  <c r="AM58" i="22"/>
  <c r="AM92" i="22" s="1"/>
  <c r="AN15" i="22"/>
  <c r="AM49" i="22"/>
  <c r="AM83" i="22" s="1"/>
  <c r="AN19" i="22"/>
  <c r="AM53" i="22"/>
  <c r="AM87" i="22" s="1"/>
  <c r="AN30" i="22"/>
  <c r="AM64" i="22"/>
  <c r="AM98" i="22" s="1"/>
  <c r="AN26" i="22"/>
  <c r="AM60" i="22"/>
  <c r="AM94" i="22" s="1"/>
  <c r="AN21" i="22"/>
  <c r="AM55" i="22"/>
  <c r="AM89" i="22" s="1"/>
  <c r="AN23" i="22"/>
  <c r="AM57" i="22"/>
  <c r="AM91" i="22" s="1"/>
  <c r="AN28" i="22"/>
  <c r="AM62" i="22"/>
  <c r="AM96" i="22" s="1"/>
  <c r="AN34" i="22"/>
  <c r="AM68" i="22"/>
  <c r="AM102" i="22" s="1"/>
  <c r="AO20" i="22"/>
  <c r="AN54" i="22"/>
  <c r="AN88" i="22" s="1"/>
  <c r="AO25" i="22"/>
  <c r="AN59" i="22"/>
  <c r="AN93" i="22" s="1"/>
  <c r="AO12" i="22"/>
  <c r="AN46" i="22"/>
  <c r="AN80" i="22" s="1"/>
  <c r="AO11" i="22"/>
  <c r="AN45" i="22"/>
  <c r="AN79" i="22" s="1"/>
  <c r="AO16" i="22"/>
  <c r="AN50" i="22"/>
  <c r="AN84" i="22" s="1"/>
  <c r="AO29" i="22"/>
  <c r="AN63" i="22"/>
  <c r="AN97" i="22" s="1"/>
  <c r="AO31" i="22"/>
  <c r="AN65" i="22"/>
  <c r="AN99" i="22" s="1"/>
  <c r="AO27" i="22"/>
  <c r="AN61" i="22"/>
  <c r="AN95" i="22" s="1"/>
  <c r="AO33" i="22"/>
  <c r="AN67" i="22"/>
  <c r="AN101" i="22" s="1"/>
  <c r="AM43" i="22"/>
  <c r="AM77" i="22" s="1"/>
  <c r="AM42" i="22"/>
  <c r="AM76" i="22" s="1"/>
  <c r="AM40" i="22"/>
  <c r="AM74" i="22" s="1"/>
  <c r="AM39" i="22"/>
  <c r="AM41" i="22"/>
  <c r="AM75" i="22" s="1"/>
  <c r="AM73" i="22" l="1"/>
  <c r="AM70" i="22"/>
  <c r="AR14" i="22"/>
  <c r="AQ48" i="22"/>
  <c r="AQ82" i="22" s="1"/>
  <c r="AO34" i="22"/>
  <c r="AN68" i="22"/>
  <c r="AN102" i="22" s="1"/>
  <c r="AO28" i="22"/>
  <c r="AN62" i="22"/>
  <c r="AN96" i="22" s="1"/>
  <c r="AO23" i="22"/>
  <c r="AN57" i="22"/>
  <c r="AN91" i="22" s="1"/>
  <c r="AO21" i="22"/>
  <c r="AN55" i="22"/>
  <c r="AN89" i="22" s="1"/>
  <c r="AO26" i="22"/>
  <c r="AN60" i="22"/>
  <c r="AN94" i="22" s="1"/>
  <c r="AO30" i="22"/>
  <c r="AN64" i="22"/>
  <c r="AN98" i="22" s="1"/>
  <c r="AO19" i="22"/>
  <c r="AN53" i="22"/>
  <c r="AN87" i="22" s="1"/>
  <c r="AO15" i="22"/>
  <c r="AN49" i="22"/>
  <c r="AN83" i="22" s="1"/>
  <c r="AO24" i="22"/>
  <c r="AN58" i="22"/>
  <c r="AN92" i="22" s="1"/>
  <c r="AO17" i="22"/>
  <c r="AN51" i="22"/>
  <c r="AN85" i="22" s="1"/>
  <c r="AO18" i="22"/>
  <c r="AN52" i="22"/>
  <c r="AN86" i="22" s="1"/>
  <c r="AO32" i="22"/>
  <c r="AN66" i="22"/>
  <c r="AN100" i="22" s="1"/>
  <c r="AO22" i="22"/>
  <c r="AN56" i="22"/>
  <c r="AN90" i="22" s="1"/>
  <c r="AP25" i="22"/>
  <c r="AO59" i="22"/>
  <c r="AO93" i="22" s="1"/>
  <c r="AP20" i="22"/>
  <c r="AO54" i="22"/>
  <c r="AO88" i="22" s="1"/>
  <c r="AP12" i="22"/>
  <c r="AO46" i="22"/>
  <c r="AO80" i="22" s="1"/>
  <c r="AP11" i="22"/>
  <c r="AO45" i="22"/>
  <c r="AO79" i="22" s="1"/>
  <c r="AP16" i="22"/>
  <c r="AO50" i="22"/>
  <c r="AO84" i="22" s="1"/>
  <c r="AP29" i="22"/>
  <c r="AO63" i="22"/>
  <c r="AO97" i="22" s="1"/>
  <c r="AP33" i="22"/>
  <c r="AO67" i="22"/>
  <c r="AO101" i="22" s="1"/>
  <c r="AP27" i="22"/>
  <c r="AO61" i="22"/>
  <c r="AO95" i="22" s="1"/>
  <c r="AP31" i="22"/>
  <c r="AO65" i="22"/>
  <c r="AO99" i="22" s="1"/>
  <c r="AN41" i="22"/>
  <c r="AN75" i="22" s="1"/>
  <c r="AN39" i="22"/>
  <c r="AN40" i="22"/>
  <c r="AN74" i="22" s="1"/>
  <c r="AN42" i="22"/>
  <c r="AN76" i="22" s="1"/>
  <c r="AN43" i="22"/>
  <c r="AN77" i="22" s="1"/>
  <c r="AN73" i="22" l="1"/>
  <c r="AN70" i="22"/>
  <c r="AS14" i="22"/>
  <c r="AS48" i="22" s="1"/>
  <c r="AS82" i="22" s="1"/>
  <c r="AR48" i="22"/>
  <c r="AR82" i="22" s="1"/>
  <c r="AP22" i="22"/>
  <c r="AO56" i="22"/>
  <c r="AO90" i="22" s="1"/>
  <c r="AP32" i="22"/>
  <c r="AO66" i="22"/>
  <c r="AO100" i="22" s="1"/>
  <c r="AP18" i="22"/>
  <c r="AO52" i="22"/>
  <c r="AO86" i="22" s="1"/>
  <c r="AP17" i="22"/>
  <c r="AO51" i="22"/>
  <c r="AO85" i="22" s="1"/>
  <c r="AP24" i="22"/>
  <c r="AO58" i="22"/>
  <c r="AO92" i="22" s="1"/>
  <c r="AP15" i="22"/>
  <c r="AO49" i="22"/>
  <c r="AO83" i="22" s="1"/>
  <c r="AP19" i="22"/>
  <c r="AO53" i="22"/>
  <c r="AO87" i="22" s="1"/>
  <c r="AP30" i="22"/>
  <c r="AO64" i="22"/>
  <c r="AO98" i="22" s="1"/>
  <c r="AP26" i="22"/>
  <c r="AO60" i="22"/>
  <c r="AO94" i="22" s="1"/>
  <c r="AP21" i="22"/>
  <c r="AO55" i="22"/>
  <c r="AO89" i="22" s="1"/>
  <c r="AP23" i="22"/>
  <c r="AO57" i="22"/>
  <c r="AO91" i="22" s="1"/>
  <c r="AP28" i="22"/>
  <c r="AO62" i="22"/>
  <c r="AO96" i="22" s="1"/>
  <c r="AP34" i="22"/>
  <c r="AO68" i="22"/>
  <c r="AO102" i="22" s="1"/>
  <c r="AQ20" i="22"/>
  <c r="AP54" i="22"/>
  <c r="AP88" i="22" s="1"/>
  <c r="AQ25" i="22"/>
  <c r="AP59" i="22"/>
  <c r="AP93" i="22" s="1"/>
  <c r="AQ12" i="22"/>
  <c r="AP46" i="22"/>
  <c r="AP80" i="22" s="1"/>
  <c r="AQ11" i="22"/>
  <c r="AP45" i="22"/>
  <c r="AP79" i="22" s="1"/>
  <c r="AQ29" i="22"/>
  <c r="AP63" i="22"/>
  <c r="AP97" i="22" s="1"/>
  <c r="AQ16" i="22"/>
  <c r="AP50" i="22"/>
  <c r="AP84" i="22" s="1"/>
  <c r="AP65" i="22"/>
  <c r="AP99" i="22" s="1"/>
  <c r="AQ31" i="22"/>
  <c r="AQ27" i="22"/>
  <c r="AP61" i="22"/>
  <c r="AP95" i="22" s="1"/>
  <c r="AQ33" i="22"/>
  <c r="AP67" i="22"/>
  <c r="AP101" i="22" s="1"/>
  <c r="AO43" i="22"/>
  <c r="AO77" i="22" s="1"/>
  <c r="AO42" i="22"/>
  <c r="AO76" i="22" s="1"/>
  <c r="AO40" i="22"/>
  <c r="AO74" i="22" s="1"/>
  <c r="AO39" i="22"/>
  <c r="AO41" i="22"/>
  <c r="AO75" i="22" s="1"/>
  <c r="AO73" i="22" l="1"/>
  <c r="AO70" i="22"/>
  <c r="AQ34" i="22"/>
  <c r="AP68" i="22"/>
  <c r="AP102" i="22" s="1"/>
  <c r="AQ28" i="22"/>
  <c r="AP62" i="22"/>
  <c r="AP96" i="22" s="1"/>
  <c r="AQ23" i="22"/>
  <c r="AP57" i="22"/>
  <c r="AP91" i="22" s="1"/>
  <c r="AQ21" i="22"/>
  <c r="AP55" i="22"/>
  <c r="AP89" i="22" s="1"/>
  <c r="AQ26" i="22"/>
  <c r="AP60" i="22"/>
  <c r="AP94" i="22" s="1"/>
  <c r="AQ30" i="22"/>
  <c r="AP64" i="22"/>
  <c r="AP98" i="22" s="1"/>
  <c r="AQ19" i="22"/>
  <c r="AP53" i="22"/>
  <c r="AP87" i="22" s="1"/>
  <c r="AQ15" i="22"/>
  <c r="AP49" i="22"/>
  <c r="AP83" i="22" s="1"/>
  <c r="AQ24" i="22"/>
  <c r="AP58" i="22"/>
  <c r="AP92" i="22" s="1"/>
  <c r="AQ17" i="22"/>
  <c r="AP51" i="22"/>
  <c r="AP85" i="22" s="1"/>
  <c r="AQ18" i="22"/>
  <c r="AP52" i="22"/>
  <c r="AP86" i="22" s="1"/>
  <c r="AQ32" i="22"/>
  <c r="AP66" i="22"/>
  <c r="AP100" i="22" s="1"/>
  <c r="AQ22" i="22"/>
  <c r="AP56" i="22"/>
  <c r="AP90" i="22" s="1"/>
  <c r="AR25" i="22"/>
  <c r="AQ59" i="22"/>
  <c r="AQ93" i="22" s="1"/>
  <c r="AR20" i="22"/>
  <c r="AQ54" i="22"/>
  <c r="AQ88" i="22" s="1"/>
  <c r="AR12" i="22"/>
  <c r="AQ46" i="22"/>
  <c r="AQ80" i="22" s="1"/>
  <c r="AR11" i="22"/>
  <c r="AQ45" i="22"/>
  <c r="AQ79" i="22" s="1"/>
  <c r="AR16" i="22"/>
  <c r="AQ50" i="22"/>
  <c r="AQ84" i="22" s="1"/>
  <c r="AR29" i="22"/>
  <c r="AQ63" i="22"/>
  <c r="AQ97" i="22" s="1"/>
  <c r="AR31" i="22"/>
  <c r="AQ65" i="22"/>
  <c r="AQ99" i="22" s="1"/>
  <c r="AR33" i="22"/>
  <c r="AQ67" i="22"/>
  <c r="AQ101" i="22" s="1"/>
  <c r="AR27" i="22"/>
  <c r="AQ61" i="22"/>
  <c r="AQ95" i="22" s="1"/>
  <c r="AP41" i="22"/>
  <c r="AP75" i="22" s="1"/>
  <c r="AP39" i="22"/>
  <c r="AP40" i="22"/>
  <c r="AP74" i="22" s="1"/>
  <c r="AP42" i="22"/>
  <c r="AP76" i="22" s="1"/>
  <c r="AP43" i="22"/>
  <c r="AP77" i="22" s="1"/>
  <c r="AP73" i="22" l="1"/>
  <c r="AP70" i="22"/>
  <c r="AR22" i="22"/>
  <c r="AQ56" i="22"/>
  <c r="AQ90" i="22" s="1"/>
  <c r="AR32" i="22"/>
  <c r="AQ66" i="22"/>
  <c r="AQ100" i="22" s="1"/>
  <c r="AR18" i="22"/>
  <c r="AQ52" i="22"/>
  <c r="AQ86" i="22" s="1"/>
  <c r="AR17" i="22"/>
  <c r="AQ51" i="22"/>
  <c r="AQ85" i="22" s="1"/>
  <c r="AR24" i="22"/>
  <c r="AQ58" i="22"/>
  <c r="AQ92" i="22" s="1"/>
  <c r="AR15" i="22"/>
  <c r="AQ49" i="22"/>
  <c r="AQ83" i="22" s="1"/>
  <c r="AR19" i="22"/>
  <c r="AQ53" i="22"/>
  <c r="AQ87" i="22" s="1"/>
  <c r="AR30" i="22"/>
  <c r="AQ64" i="22"/>
  <c r="AQ98" i="22" s="1"/>
  <c r="AR26" i="22"/>
  <c r="AQ60" i="22"/>
  <c r="AQ94" i="22" s="1"/>
  <c r="AR21" i="22"/>
  <c r="AQ55" i="22"/>
  <c r="AQ89" i="22" s="1"/>
  <c r="AR23" i="22"/>
  <c r="AQ57" i="22"/>
  <c r="AQ91" i="22" s="1"/>
  <c r="AR28" i="22"/>
  <c r="AQ62" i="22"/>
  <c r="AQ96" i="22" s="1"/>
  <c r="AR34" i="22"/>
  <c r="AQ68" i="22"/>
  <c r="AQ102" i="22" s="1"/>
  <c r="AS20" i="22"/>
  <c r="AS54" i="22" s="1"/>
  <c r="AS88" i="22" s="1"/>
  <c r="AR54" i="22"/>
  <c r="AR88" i="22" s="1"/>
  <c r="AS25" i="22"/>
  <c r="AS59" i="22" s="1"/>
  <c r="AS93" i="22" s="1"/>
  <c r="AR59" i="22"/>
  <c r="AR93" i="22" s="1"/>
  <c r="AS12" i="22"/>
  <c r="AS46" i="22" s="1"/>
  <c r="AS80" i="22" s="1"/>
  <c r="AR46" i="22"/>
  <c r="AR80" i="22" s="1"/>
  <c r="AS11" i="22"/>
  <c r="AS45" i="22" s="1"/>
  <c r="AS79" i="22" s="1"/>
  <c r="AR45" i="22"/>
  <c r="AR79" i="22" s="1"/>
  <c r="AS29" i="22"/>
  <c r="AS63" i="22" s="1"/>
  <c r="AS97" i="22" s="1"/>
  <c r="AR63" i="22"/>
  <c r="AR97" i="22" s="1"/>
  <c r="AS16" i="22"/>
  <c r="AS50" i="22" s="1"/>
  <c r="AS84" i="22" s="1"/>
  <c r="AR50" i="22"/>
  <c r="AR84" i="22" s="1"/>
  <c r="AS27" i="22"/>
  <c r="AS61" i="22" s="1"/>
  <c r="AS95" i="22" s="1"/>
  <c r="AR61" i="22"/>
  <c r="AR95" i="22" s="1"/>
  <c r="AS33" i="22"/>
  <c r="AS67" i="22" s="1"/>
  <c r="AS101" i="22" s="1"/>
  <c r="AR67" i="22"/>
  <c r="AR101" i="22" s="1"/>
  <c r="AS31" i="22"/>
  <c r="AS65" i="22" s="1"/>
  <c r="AS99" i="22" s="1"/>
  <c r="AR65" i="22"/>
  <c r="AR99" i="22" s="1"/>
  <c r="AQ43" i="22"/>
  <c r="AQ77" i="22" s="1"/>
  <c r="AQ42" i="22"/>
  <c r="AQ76" i="22" s="1"/>
  <c r="AQ40" i="22"/>
  <c r="AQ74" i="22" s="1"/>
  <c r="AQ39" i="22"/>
  <c r="AQ41" i="22"/>
  <c r="AQ75" i="22" s="1"/>
  <c r="AQ73" i="22" l="1"/>
  <c r="AQ70" i="22"/>
  <c r="AS34" i="22"/>
  <c r="AS68" i="22" s="1"/>
  <c r="AS102" i="22" s="1"/>
  <c r="AR68" i="22"/>
  <c r="AR102" i="22" s="1"/>
  <c r="AS28" i="22"/>
  <c r="AS62" i="22" s="1"/>
  <c r="AS96" i="22" s="1"/>
  <c r="AR62" i="22"/>
  <c r="AR96" i="22" s="1"/>
  <c r="AS23" i="22"/>
  <c r="AS57" i="22" s="1"/>
  <c r="AS91" i="22" s="1"/>
  <c r="AR57" i="22"/>
  <c r="AR91" i="22" s="1"/>
  <c r="AS21" i="22"/>
  <c r="AS55" i="22" s="1"/>
  <c r="AS89" i="22" s="1"/>
  <c r="AR55" i="22"/>
  <c r="AR89" i="22" s="1"/>
  <c r="AS26" i="22"/>
  <c r="AS60" i="22" s="1"/>
  <c r="AS94" i="22" s="1"/>
  <c r="AR60" i="22"/>
  <c r="AR94" i="22" s="1"/>
  <c r="AS30" i="22"/>
  <c r="AS64" i="22" s="1"/>
  <c r="AS98" i="22" s="1"/>
  <c r="AR64" i="22"/>
  <c r="AR98" i="22" s="1"/>
  <c r="AS19" i="22"/>
  <c r="AS53" i="22" s="1"/>
  <c r="AS87" i="22" s="1"/>
  <c r="AR53" i="22"/>
  <c r="AR87" i="22" s="1"/>
  <c r="AS15" i="22"/>
  <c r="AS49" i="22" s="1"/>
  <c r="AS83" i="22" s="1"/>
  <c r="AR49" i="22"/>
  <c r="AR83" i="22" s="1"/>
  <c r="AS24" i="22"/>
  <c r="AS58" i="22" s="1"/>
  <c r="AS92" i="22" s="1"/>
  <c r="AR58" i="22"/>
  <c r="AR92" i="22" s="1"/>
  <c r="AS17" i="22"/>
  <c r="AS51" i="22" s="1"/>
  <c r="AS85" i="22" s="1"/>
  <c r="AR51" i="22"/>
  <c r="AR85" i="22" s="1"/>
  <c r="AS18" i="22"/>
  <c r="AS52" i="22" s="1"/>
  <c r="AS86" i="22" s="1"/>
  <c r="AR52" i="22"/>
  <c r="AR86" i="22" s="1"/>
  <c r="AS32" i="22"/>
  <c r="AS66" i="22" s="1"/>
  <c r="AS100" i="22" s="1"/>
  <c r="AR66" i="22"/>
  <c r="AR100" i="22" s="1"/>
  <c r="AS22" i="22"/>
  <c r="AS56" i="22" s="1"/>
  <c r="AS90" i="22" s="1"/>
  <c r="AR56" i="22"/>
  <c r="AR90" i="22" s="1"/>
  <c r="AS41" i="22"/>
  <c r="AS75" i="22" s="1"/>
  <c r="AR41" i="22"/>
  <c r="AR75" i="22" s="1"/>
  <c r="AS39" i="22"/>
  <c r="AS70" i="22" s="1"/>
  <c r="AR39" i="22"/>
  <c r="AS40" i="22"/>
  <c r="AS74" i="22" s="1"/>
  <c r="AR40" i="22"/>
  <c r="AR74" i="22" s="1"/>
  <c r="AS42" i="22"/>
  <c r="AS76" i="22" s="1"/>
  <c r="AR42" i="22"/>
  <c r="AR76" i="22" s="1"/>
  <c r="AS43" i="22"/>
  <c r="AS77" i="22" s="1"/>
  <c r="AR43" i="22"/>
  <c r="AR77" i="22" s="1"/>
  <c r="AR73" i="22" l="1"/>
  <c r="AR70" i="22"/>
  <c r="AS73" i="22"/>
  <c r="AP40" i="13"/>
  <c r="C132" i="32"/>
  <c r="C149" i="56" s="1"/>
  <c r="C128" i="32"/>
  <c r="C145" i="56" s="1"/>
  <c r="C125" i="32" l="1"/>
  <c r="C142" i="56" l="1"/>
  <c r="C127" i="32"/>
  <c r="C144" i="56" s="1"/>
  <c r="B17" i="1" l="1"/>
  <c r="C11" i="56" l="1"/>
  <c r="D104" i="32"/>
  <c r="D105" i="32"/>
  <c r="C106" i="32"/>
  <c r="D106" i="32"/>
  <c r="D107" i="32"/>
  <c r="C108" i="32"/>
  <c r="D108" i="32"/>
  <c r="G36" i="51"/>
  <c r="E36" i="51"/>
  <c r="G24" i="51"/>
  <c r="G13" i="51"/>
  <c r="I51" i="56" s="1"/>
  <c r="E13" i="51"/>
  <c r="G51" i="56" s="1"/>
  <c r="F11" i="51"/>
  <c r="G10" i="51"/>
  <c r="I48" i="56" s="1"/>
  <c r="E10" i="51"/>
  <c r="G48" i="56" s="1"/>
  <c r="G9" i="51"/>
  <c r="I47" i="56" s="1"/>
  <c r="E9" i="51"/>
  <c r="G47" i="56" s="1"/>
  <c r="G7" i="51"/>
  <c r="I45" i="56" s="1"/>
  <c r="F49" i="56"/>
  <c r="G6" i="51"/>
  <c r="I44" i="56" s="1"/>
  <c r="E6" i="51"/>
  <c r="G44" i="56" s="1"/>
  <c r="E5" i="51"/>
  <c r="G43" i="56" s="1"/>
  <c r="F4" i="51"/>
  <c r="H42" i="56" s="1"/>
  <c r="D4" i="51"/>
  <c r="C14" i="51" s="1"/>
  <c r="G3" i="51"/>
  <c r="I41" i="56" s="1"/>
  <c r="E3" i="51"/>
  <c r="G41" i="56" s="1"/>
  <c r="G2" i="51"/>
  <c r="I40" i="56" s="1"/>
  <c r="E2" i="51"/>
  <c r="G40" i="56" s="1"/>
  <c r="D8" i="51" l="1"/>
  <c r="F46" i="56" s="1"/>
  <c r="F42" i="56"/>
  <c r="J42" i="56" s="1"/>
  <c r="G11" i="51"/>
  <c r="I49" i="56" s="1"/>
  <c r="H49" i="56"/>
  <c r="J49" i="56" s="1"/>
  <c r="F8" i="51"/>
  <c r="H46" i="56" s="1"/>
  <c r="J46" i="56" s="1"/>
  <c r="G40" i="51"/>
  <c r="G18" i="51"/>
  <c r="E40" i="51"/>
  <c r="G28" i="51"/>
  <c r="G34" i="51"/>
  <c r="E18" i="51"/>
  <c r="E28" i="51"/>
  <c r="E34" i="51"/>
  <c r="G30" i="51"/>
  <c r="E24" i="51"/>
  <c r="E30" i="51"/>
  <c r="E8" i="51"/>
  <c r="G46" i="56" s="1"/>
  <c r="E11" i="51"/>
  <c r="G49" i="56" s="1"/>
  <c r="F12" i="51"/>
  <c r="H50" i="56" s="1"/>
  <c r="E4" i="51"/>
  <c r="G42" i="56" s="1"/>
  <c r="G4" i="51"/>
  <c r="I42" i="56" s="1"/>
  <c r="D131" i="56" s="1"/>
  <c r="E7" i="51"/>
  <c r="G45" i="56" s="1"/>
  <c r="D12" i="51" l="1"/>
  <c r="F50" i="56" s="1"/>
  <c r="J50" i="56" s="1"/>
  <c r="K45" i="56"/>
  <c r="G8" i="51"/>
  <c r="I46" i="56" s="1"/>
  <c r="F14" i="51"/>
  <c r="F52" i="56" s="1"/>
  <c r="G12" i="51"/>
  <c r="I50" i="56" s="1"/>
  <c r="D14" i="51"/>
  <c r="D52" i="56" s="1"/>
  <c r="E13" i="8"/>
  <c r="E12" i="51" l="1"/>
  <c r="G50" i="56" s="1"/>
  <c r="E14" i="51"/>
  <c r="E52" i="56" s="1"/>
  <c r="G14" i="51"/>
  <c r="G52" i="56" s="1"/>
  <c r="C12" i="50"/>
  <c r="C15" i="50" s="1"/>
  <c r="D11" i="50"/>
  <c r="D10" i="50"/>
  <c r="D9" i="50"/>
  <c r="D8" i="50"/>
  <c r="D7" i="50"/>
  <c r="D6" i="50"/>
  <c r="D5" i="50"/>
  <c r="D4" i="50"/>
  <c r="D3" i="50"/>
  <c r="C2" i="49" l="1"/>
  <c r="H7" i="48" l="1"/>
  <c r="K7" i="48" s="1"/>
  <c r="H8" i="48"/>
  <c r="H9" i="48"/>
  <c r="H10" i="48"/>
  <c r="H11" i="48"/>
  <c r="H12" i="48"/>
  <c r="H13" i="48"/>
  <c r="H14" i="48"/>
  <c r="H15" i="48"/>
  <c r="H16" i="48"/>
  <c r="H17" i="48"/>
  <c r="C18" i="48" l="1"/>
  <c r="E18" i="48"/>
  <c r="N17" i="48"/>
  <c r="N18" i="48"/>
  <c r="K9" i="48"/>
  <c r="C3" i="48"/>
  <c r="N16" i="48"/>
  <c r="K16" i="48"/>
  <c r="L16" i="48" s="1"/>
  <c r="F16" i="48"/>
  <c r="N15" i="48"/>
  <c r="K15" i="48"/>
  <c r="L15" i="48" s="1"/>
  <c r="F15" i="48"/>
  <c r="N14" i="48"/>
  <c r="K14" i="48"/>
  <c r="L14" i="48" s="1"/>
  <c r="F14" i="48"/>
  <c r="N13" i="48"/>
  <c r="K13" i="48"/>
  <c r="L13" i="48" s="1"/>
  <c r="F13" i="48"/>
  <c r="N12" i="48"/>
  <c r="K12" i="48"/>
  <c r="L12" i="48" s="1"/>
  <c r="F12" i="48"/>
  <c r="N11" i="48"/>
  <c r="K11" i="48"/>
  <c r="L11" i="48" s="1"/>
  <c r="F11" i="48"/>
  <c r="N10" i="48"/>
  <c r="K10" i="48"/>
  <c r="L10" i="48" s="1"/>
  <c r="F10" i="48"/>
  <c r="N9" i="48"/>
  <c r="L9" i="48"/>
  <c r="F9" i="48"/>
  <c r="N8" i="48"/>
  <c r="K8" i="48"/>
  <c r="L8" i="48" s="1"/>
  <c r="F8" i="48"/>
  <c r="N7" i="48"/>
  <c r="F7" i="48"/>
  <c r="M9" i="48" l="1"/>
  <c r="M13" i="48"/>
  <c r="F18" i="48"/>
  <c r="B1" i="48"/>
  <c r="H18" i="48"/>
  <c r="M8" i="48"/>
  <c r="M11" i="48"/>
  <c r="M15" i="48"/>
  <c r="M7" i="48"/>
  <c r="M10" i="48"/>
  <c r="M12" i="48"/>
  <c r="M14" i="48"/>
  <c r="M16" i="48"/>
  <c r="L7" i="48" l="1"/>
  <c r="L18" i="48" s="1"/>
  <c r="K18" i="48"/>
  <c r="M18" i="48" s="1"/>
  <c r="E1" i="48" s="1"/>
  <c r="B16" i="11" l="1"/>
  <c r="B15" i="11"/>
  <c r="F4" i="34"/>
  <c r="H104" i="32" l="1"/>
  <c r="H105" i="32"/>
  <c r="H106" i="32"/>
  <c r="H107" i="32"/>
  <c r="H108" i="32"/>
  <c r="B42" i="13" l="1"/>
  <c r="D3" i="32" l="1"/>
  <c r="G82" i="19" l="1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81" i="19"/>
  <c r="F148" i="19" l="1"/>
  <c r="D148" i="19"/>
  <c r="B148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50" i="19"/>
  <c r="B153" i="19" l="1"/>
  <c r="C153" i="19"/>
  <c r="H153" i="19"/>
  <c r="B154" i="19"/>
  <c r="C154" i="19"/>
  <c r="H154" i="19"/>
  <c r="B155" i="19"/>
  <c r="C155" i="19"/>
  <c r="H155" i="19"/>
  <c r="B156" i="19"/>
  <c r="C156" i="19"/>
  <c r="H156" i="19"/>
  <c r="B157" i="19"/>
  <c r="C157" i="19"/>
  <c r="H157" i="19"/>
  <c r="B158" i="19"/>
  <c r="C158" i="19"/>
  <c r="H158" i="19"/>
  <c r="B159" i="19"/>
  <c r="C159" i="19"/>
  <c r="H159" i="19"/>
  <c r="B160" i="19"/>
  <c r="C160" i="19"/>
  <c r="H160" i="19"/>
  <c r="B161" i="19"/>
  <c r="C161" i="19"/>
  <c r="H161" i="19"/>
  <c r="B162" i="19"/>
  <c r="C162" i="19"/>
  <c r="H162" i="19"/>
  <c r="B163" i="19"/>
  <c r="C163" i="19"/>
  <c r="H163" i="19"/>
  <c r="B164" i="19"/>
  <c r="C164" i="19"/>
  <c r="H164" i="19"/>
  <c r="B165" i="19"/>
  <c r="C165" i="19"/>
  <c r="H165" i="19"/>
  <c r="B166" i="19"/>
  <c r="C166" i="19"/>
  <c r="H166" i="19"/>
  <c r="C167" i="19"/>
  <c r="B199" i="19" l="1"/>
  <c r="J1" i="1"/>
  <c r="J62" i="1"/>
  <c r="D138" i="32" l="1"/>
  <c r="K148" i="32"/>
  <c r="J148" i="32"/>
  <c r="H148" i="32"/>
  <c r="G148" i="32"/>
  <c r="F148" i="32"/>
  <c r="E148" i="32"/>
  <c r="D148" i="32"/>
  <c r="I148" i="32" l="1"/>
  <c r="B1" i="44"/>
  <c r="E1" i="44"/>
  <c r="A16" i="9" l="1"/>
  <c r="A15" i="9"/>
  <c r="A14" i="9"/>
  <c r="A13" i="9"/>
  <c r="A12" i="9"/>
  <c r="A11" i="9"/>
  <c r="A10" i="9"/>
  <c r="A9" i="9"/>
  <c r="A8" i="9"/>
  <c r="A7" i="9"/>
  <c r="A6" i="9"/>
  <c r="A5" i="9"/>
  <c r="A4" i="9"/>
  <c r="A3" i="9"/>
  <c r="A2" i="9"/>
  <c r="V31" i="43" l="1"/>
  <c r="A3" i="43"/>
  <c r="B3" i="43" s="1"/>
  <c r="D386" i="43"/>
  <c r="V46" i="43" s="1"/>
  <c r="D385" i="43"/>
  <c r="V45" i="43" s="1"/>
  <c r="D384" i="43"/>
  <c r="V44" i="43" s="1"/>
  <c r="D383" i="43"/>
  <c r="V43" i="43" s="1"/>
  <c r="D382" i="43"/>
  <c r="V42" i="43" s="1"/>
  <c r="D381" i="43"/>
  <c r="V41" i="43" s="1"/>
  <c r="D380" i="43"/>
  <c r="V40" i="43" s="1"/>
  <c r="D379" i="43"/>
  <c r="V39" i="43" s="1"/>
  <c r="D378" i="43"/>
  <c r="V38" i="43" s="1"/>
  <c r="D377" i="43"/>
  <c r="V37" i="43" s="1"/>
  <c r="D376" i="43"/>
  <c r="V36" i="43" s="1"/>
  <c r="D375" i="43"/>
  <c r="V35" i="43" s="1"/>
  <c r="D374" i="43"/>
  <c r="V34" i="43" s="1"/>
  <c r="D373" i="43"/>
  <c r="V33" i="43" s="1"/>
  <c r="D372" i="43"/>
  <c r="V32" i="43" s="1"/>
  <c r="S2" i="43"/>
  <c r="R2" i="43"/>
  <c r="Q2" i="43"/>
  <c r="P2" i="43"/>
  <c r="O2" i="43"/>
  <c r="N2" i="43"/>
  <c r="M2" i="43"/>
  <c r="L2" i="43"/>
  <c r="K2" i="43"/>
  <c r="J2" i="43"/>
  <c r="I2" i="43"/>
  <c r="H2" i="43"/>
  <c r="G2" i="43"/>
  <c r="F2" i="43"/>
  <c r="E2" i="43"/>
  <c r="S1" i="43"/>
  <c r="R1" i="43"/>
  <c r="Q1" i="43"/>
  <c r="P1" i="43"/>
  <c r="O1" i="43"/>
  <c r="N1" i="43"/>
  <c r="M1" i="43"/>
  <c r="L1" i="43"/>
  <c r="K1" i="43"/>
  <c r="J1" i="43"/>
  <c r="I1" i="43"/>
  <c r="H1" i="43"/>
  <c r="G1" i="43"/>
  <c r="F1" i="43"/>
  <c r="E1" i="43"/>
  <c r="AQ3" i="13"/>
  <c r="AQ70" i="13" s="1"/>
  <c r="T99" i="43" l="1"/>
  <c r="T98" i="43"/>
  <c r="T97" i="43"/>
  <c r="T96" i="43"/>
  <c r="T95" i="43"/>
  <c r="T94" i="43"/>
  <c r="T93" i="43"/>
  <c r="T92" i="43"/>
  <c r="T91" i="43"/>
  <c r="T90" i="43"/>
  <c r="T89" i="43"/>
  <c r="T88" i="43"/>
  <c r="T87" i="43"/>
  <c r="T86" i="43"/>
  <c r="T85" i="43"/>
  <c r="T84" i="43"/>
  <c r="T83" i="43"/>
  <c r="T82" i="43"/>
  <c r="T81" i="43"/>
  <c r="T80" i="43"/>
  <c r="T79" i="43"/>
  <c r="T78" i="43"/>
  <c r="T77" i="43"/>
  <c r="T76" i="43"/>
  <c r="T75" i="43"/>
  <c r="T74" i="43"/>
  <c r="T73" i="43"/>
  <c r="T72" i="43"/>
  <c r="T71" i="43"/>
  <c r="T70" i="43"/>
  <c r="T69" i="43"/>
  <c r="T68" i="43"/>
  <c r="T67" i="43"/>
  <c r="T66" i="43"/>
  <c r="T65" i="43"/>
  <c r="T64" i="43"/>
  <c r="T63" i="43"/>
  <c r="T62" i="43"/>
  <c r="T61" i="43"/>
  <c r="T60" i="43"/>
  <c r="T59" i="43"/>
  <c r="T58" i="43"/>
  <c r="T57" i="43"/>
  <c r="T56" i="43"/>
  <c r="T55" i="43"/>
  <c r="T54" i="43"/>
  <c r="T53" i="43"/>
  <c r="T52" i="43"/>
  <c r="T51" i="43"/>
  <c r="T50" i="43"/>
  <c r="T49" i="43"/>
  <c r="T48" i="43"/>
  <c r="T47" i="43"/>
  <c r="T46" i="43"/>
  <c r="T45" i="43"/>
  <c r="T44" i="43"/>
  <c r="T43" i="43"/>
  <c r="T42" i="43"/>
  <c r="T41" i="43"/>
  <c r="T40" i="43"/>
  <c r="T39" i="43"/>
  <c r="T38" i="43"/>
  <c r="T37" i="43"/>
  <c r="T36" i="43"/>
  <c r="T35" i="43"/>
  <c r="T34" i="43"/>
  <c r="T33" i="43"/>
  <c r="T32" i="43"/>
  <c r="T31" i="43"/>
  <c r="T30" i="43"/>
  <c r="T29" i="43"/>
  <c r="T28" i="43"/>
  <c r="T27" i="43"/>
  <c r="T26" i="43"/>
  <c r="T25" i="43"/>
  <c r="T24" i="43"/>
  <c r="T23" i="43"/>
  <c r="T22" i="43"/>
  <c r="T21" i="43"/>
  <c r="T20" i="43"/>
  <c r="T19" i="43"/>
  <c r="T18" i="43"/>
  <c r="T17" i="43"/>
  <c r="T16" i="43"/>
  <c r="T15" i="43"/>
  <c r="T14" i="43"/>
  <c r="T13" i="43"/>
  <c r="T12" i="43"/>
  <c r="T11" i="43"/>
  <c r="T10" i="43"/>
  <c r="T9" i="43"/>
  <c r="T8" i="43"/>
  <c r="T7" i="43"/>
  <c r="T6" i="43"/>
  <c r="T5" i="43"/>
  <c r="T3" i="43"/>
  <c r="C3" i="43"/>
  <c r="D3" i="43" s="1"/>
  <c r="A4" i="43"/>
  <c r="B4" i="43" s="1"/>
  <c r="T116" i="43" l="1"/>
  <c r="T114" i="43"/>
  <c r="T112" i="43"/>
  <c r="T110" i="43"/>
  <c r="T117" i="43"/>
  <c r="T115" i="43"/>
  <c r="T113" i="43"/>
  <c r="T111" i="43"/>
  <c r="A5" i="43"/>
  <c r="B5" i="43" s="1"/>
  <c r="C4" i="43"/>
  <c r="D4" i="43" s="1"/>
  <c r="T100" i="43"/>
  <c r="T101" i="43"/>
  <c r="T102" i="43"/>
  <c r="T103" i="43"/>
  <c r="T104" i="43"/>
  <c r="T105" i="43"/>
  <c r="T106" i="43"/>
  <c r="T107" i="43"/>
  <c r="T108" i="43"/>
  <c r="T109" i="43"/>
  <c r="T367" i="43"/>
  <c r="T366" i="43"/>
  <c r="T324" i="43"/>
  <c r="T323" i="43"/>
  <c r="T322" i="43"/>
  <c r="T321" i="43"/>
  <c r="T320" i="43"/>
  <c r="T319" i="43"/>
  <c r="T318" i="43"/>
  <c r="T317" i="43"/>
  <c r="T316" i="43"/>
  <c r="T315" i="43"/>
  <c r="T314" i="43"/>
  <c r="T313" i="43"/>
  <c r="T312" i="43"/>
  <c r="T311" i="43"/>
  <c r="T310" i="43"/>
  <c r="T309" i="43"/>
  <c r="T308" i="43"/>
  <c r="T307" i="43"/>
  <c r="T306" i="43"/>
  <c r="T305" i="43"/>
  <c r="T304" i="43"/>
  <c r="T303" i="43"/>
  <c r="T365" i="43"/>
  <c r="T364" i="43"/>
  <c r="T363" i="43"/>
  <c r="T362" i="43"/>
  <c r="T361" i="43"/>
  <c r="T360" i="43"/>
  <c r="T359" i="43"/>
  <c r="T358" i="43"/>
  <c r="T357" i="43"/>
  <c r="T356" i="43"/>
  <c r="T355" i="43"/>
  <c r="T354" i="43"/>
  <c r="T353" i="43"/>
  <c r="T352" i="43"/>
  <c r="T351" i="43"/>
  <c r="T350" i="43"/>
  <c r="T349" i="43"/>
  <c r="T348" i="43"/>
  <c r="T347" i="43"/>
  <c r="T346" i="43"/>
  <c r="T345" i="43"/>
  <c r="T344" i="43"/>
  <c r="T343" i="43"/>
  <c r="T342" i="43"/>
  <c r="T341" i="43"/>
  <c r="T340" i="43"/>
  <c r="T339" i="43"/>
  <c r="T338" i="43"/>
  <c r="T337" i="43"/>
  <c r="T336" i="43"/>
  <c r="T334" i="43"/>
  <c r="T332" i="43"/>
  <c r="T330" i="43"/>
  <c r="T328" i="43"/>
  <c r="T326" i="43"/>
  <c r="T302" i="43"/>
  <c r="T301" i="43"/>
  <c r="T300" i="43"/>
  <c r="T299" i="43"/>
  <c r="T298" i="43"/>
  <c r="T297" i="43"/>
  <c r="T296" i="43"/>
  <c r="T295" i="43"/>
  <c r="T294" i="43"/>
  <c r="T293" i="43"/>
  <c r="T292" i="43"/>
  <c r="T291" i="43"/>
  <c r="T290" i="43"/>
  <c r="T289" i="43"/>
  <c r="T288" i="43"/>
  <c r="T287" i="43"/>
  <c r="T335" i="43"/>
  <c r="T333" i="43"/>
  <c r="T331" i="43"/>
  <c r="T329" i="43"/>
  <c r="T327" i="43"/>
  <c r="T325" i="43"/>
  <c r="T231" i="43"/>
  <c r="T230" i="43"/>
  <c r="T229" i="43"/>
  <c r="T228" i="43"/>
  <c r="T227" i="43"/>
  <c r="T226" i="43"/>
  <c r="T225" i="43"/>
  <c r="T224" i="43"/>
  <c r="T223" i="43"/>
  <c r="T222" i="43"/>
  <c r="T221" i="43"/>
  <c r="T220" i="43"/>
  <c r="T219" i="43"/>
  <c r="T218" i="43"/>
  <c r="T217" i="43"/>
  <c r="T216" i="43"/>
  <c r="T215" i="43"/>
  <c r="T214" i="43"/>
  <c r="T213" i="43"/>
  <c r="T212" i="43"/>
  <c r="T211" i="43"/>
  <c r="T210" i="43"/>
  <c r="T209" i="43"/>
  <c r="T208" i="43"/>
  <c r="T207" i="43"/>
  <c r="T206" i="43"/>
  <c r="T205" i="43"/>
  <c r="T204" i="43"/>
  <c r="T203" i="43"/>
  <c r="T202" i="43"/>
  <c r="T201" i="43"/>
  <c r="T200" i="43"/>
  <c r="T199" i="43"/>
  <c r="T198" i="43"/>
  <c r="T197" i="43"/>
  <c r="T196" i="43"/>
  <c r="T195" i="43"/>
  <c r="T194" i="43"/>
  <c r="T193" i="43"/>
  <c r="T192" i="43"/>
  <c r="T191" i="43"/>
  <c r="T190" i="43"/>
  <c r="T189" i="43"/>
  <c r="T188" i="43"/>
  <c r="T187" i="43"/>
  <c r="T186" i="43"/>
  <c r="T185" i="43"/>
  <c r="T184" i="43"/>
  <c r="T183" i="43"/>
  <c r="T182" i="43"/>
  <c r="T181" i="43"/>
  <c r="T180" i="43"/>
  <c r="T179" i="43"/>
  <c r="T178" i="43"/>
  <c r="T177" i="43"/>
  <c r="T176" i="43"/>
  <c r="T175" i="43"/>
  <c r="T286" i="43"/>
  <c r="T285" i="43"/>
  <c r="T284" i="43"/>
  <c r="T283" i="43"/>
  <c r="T282" i="43"/>
  <c r="T281" i="43"/>
  <c r="T280" i="43"/>
  <c r="T279" i="43"/>
  <c r="T278" i="43"/>
  <c r="T277" i="43"/>
  <c r="T276" i="43"/>
  <c r="T275" i="43"/>
  <c r="T274" i="43"/>
  <c r="T273" i="43"/>
  <c r="T272" i="43"/>
  <c r="T271" i="43"/>
  <c r="T270" i="43"/>
  <c r="T269" i="43"/>
  <c r="T268" i="43"/>
  <c r="T267" i="43"/>
  <c r="T266" i="43"/>
  <c r="T265" i="43"/>
  <c r="T264" i="43"/>
  <c r="T263" i="43"/>
  <c r="T262" i="43"/>
  <c r="T261" i="43"/>
  <c r="T260" i="43"/>
  <c r="T259" i="43"/>
  <c r="T258" i="43"/>
  <c r="T257" i="43"/>
  <c r="T256" i="43"/>
  <c r="T255" i="43"/>
  <c r="T254" i="43"/>
  <c r="T253" i="43"/>
  <c r="T252" i="43"/>
  <c r="T251" i="43"/>
  <c r="T250" i="43"/>
  <c r="T249" i="43"/>
  <c r="T248" i="43"/>
  <c r="T247" i="43"/>
  <c r="T246" i="43"/>
  <c r="T245" i="43"/>
  <c r="T244" i="43"/>
  <c r="T243" i="43"/>
  <c r="T242" i="43"/>
  <c r="T241" i="43"/>
  <c r="T240" i="43"/>
  <c r="T239" i="43"/>
  <c r="T238" i="43"/>
  <c r="T237" i="43"/>
  <c r="T236" i="43"/>
  <c r="T235" i="43"/>
  <c r="T234" i="43"/>
  <c r="T233" i="43"/>
  <c r="T232" i="43"/>
  <c r="T4" i="43"/>
  <c r="T118" i="43"/>
  <c r="T119" i="43"/>
  <c r="T120" i="43"/>
  <c r="T121" i="43"/>
  <c r="T122" i="43"/>
  <c r="T123" i="43"/>
  <c r="T124" i="43"/>
  <c r="T125" i="43"/>
  <c r="T126" i="43"/>
  <c r="T127" i="43"/>
  <c r="T128" i="43"/>
  <c r="T129" i="43"/>
  <c r="T130" i="43"/>
  <c r="T131" i="43"/>
  <c r="T132" i="43"/>
  <c r="T133" i="43"/>
  <c r="T134" i="43"/>
  <c r="T135" i="43"/>
  <c r="T136" i="43"/>
  <c r="T137" i="43"/>
  <c r="T138" i="43"/>
  <c r="T139" i="43"/>
  <c r="T140" i="43"/>
  <c r="T141" i="43"/>
  <c r="T142" i="43"/>
  <c r="T143" i="43"/>
  <c r="T144" i="43"/>
  <c r="T145" i="43"/>
  <c r="T146" i="43"/>
  <c r="T147" i="43"/>
  <c r="T148" i="43"/>
  <c r="T149" i="43"/>
  <c r="T150" i="43"/>
  <c r="T151" i="43"/>
  <c r="T152" i="43"/>
  <c r="T153" i="43"/>
  <c r="T154" i="43"/>
  <c r="T155" i="43"/>
  <c r="T156" i="43"/>
  <c r="T157" i="43"/>
  <c r="T158" i="43"/>
  <c r="T159" i="43"/>
  <c r="T160" i="43"/>
  <c r="T161" i="43"/>
  <c r="T162" i="43"/>
  <c r="T163" i="43"/>
  <c r="T164" i="43"/>
  <c r="T165" i="43"/>
  <c r="T166" i="43"/>
  <c r="T167" i="43"/>
  <c r="T168" i="43"/>
  <c r="T169" i="43"/>
  <c r="T170" i="43"/>
  <c r="T171" i="43"/>
  <c r="T172" i="43"/>
  <c r="T173" i="43"/>
  <c r="T174" i="43"/>
  <c r="E11" i="2"/>
  <c r="E10" i="2"/>
  <c r="E9" i="2"/>
  <c r="E8" i="2"/>
  <c r="E7" i="2"/>
  <c r="E6" i="2"/>
  <c r="E5" i="2"/>
  <c r="B6" i="11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3" i="9"/>
  <c r="A113" i="9"/>
  <c r="B112" i="9"/>
  <c r="A112" i="9"/>
  <c r="B111" i="9"/>
  <c r="A111" i="9"/>
  <c r="B110" i="9"/>
  <c r="A110" i="9"/>
  <c r="B109" i="9"/>
  <c r="A109" i="9"/>
  <c r="B108" i="9"/>
  <c r="A108" i="9"/>
  <c r="B107" i="9"/>
  <c r="A107" i="9"/>
  <c r="B106" i="9"/>
  <c r="A106" i="9"/>
  <c r="B105" i="9"/>
  <c r="A105" i="9"/>
  <c r="B104" i="9"/>
  <c r="A104" i="9"/>
  <c r="B103" i="9"/>
  <c r="A103" i="9"/>
  <c r="B102" i="9"/>
  <c r="A102" i="9"/>
  <c r="B101" i="9"/>
  <c r="A101" i="9"/>
  <c r="B100" i="9"/>
  <c r="A100" i="9"/>
  <c r="B99" i="9"/>
  <c r="A99" i="9"/>
  <c r="B97" i="9"/>
  <c r="B96" i="9"/>
  <c r="B95" i="9"/>
  <c r="B94" i="9"/>
  <c r="B93" i="9"/>
  <c r="B92" i="9"/>
  <c r="B91" i="9"/>
  <c r="B90" i="9"/>
  <c r="B89" i="9"/>
  <c r="B88" i="9"/>
  <c r="B87" i="9"/>
  <c r="B86" i="9"/>
  <c r="B85" i="9"/>
  <c r="B84" i="9"/>
  <c r="B83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A67" i="9"/>
  <c r="A6" i="43" l="1"/>
  <c r="B6" i="43" s="1"/>
  <c r="C5" i="43"/>
  <c r="D5" i="43" s="1"/>
  <c r="A115" i="9"/>
  <c r="A132" i="9"/>
  <c r="A18" i="9"/>
  <c r="A34" i="9"/>
  <c r="A50" i="9"/>
  <c r="A83" i="9"/>
  <c r="A7" i="43" l="1"/>
  <c r="B7" i="43" s="1"/>
  <c r="C6" i="43"/>
  <c r="D6" i="43" s="1"/>
  <c r="H6" i="3"/>
  <c r="H7" i="3"/>
  <c r="H8" i="3"/>
  <c r="H9" i="3"/>
  <c r="H10" i="3"/>
  <c r="I29" i="3"/>
  <c r="I28" i="3"/>
  <c r="I27" i="3"/>
  <c r="I26" i="3"/>
  <c r="I25" i="3"/>
  <c r="E27" i="3"/>
  <c r="E26" i="3"/>
  <c r="E25" i="3"/>
  <c r="A8" i="43" l="1"/>
  <c r="B8" i="43" s="1"/>
  <c r="C7" i="43"/>
  <c r="D7" i="43" s="1"/>
  <c r="F5" i="3"/>
  <c r="A9" i="43" l="1"/>
  <c r="B9" i="43" s="1"/>
  <c r="C8" i="43"/>
  <c r="D8" i="43" s="1"/>
  <c r="B70" i="13"/>
  <c r="AQ72" i="13" l="1"/>
  <c r="A10" i="43"/>
  <c r="B10" i="43" s="1"/>
  <c r="C9" i="43"/>
  <c r="D9" i="43" s="1"/>
  <c r="AS66" i="13"/>
  <c r="AR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H64" i="13"/>
  <c r="B29" i="13"/>
  <c r="B45" i="8"/>
  <c r="B41" i="11" s="1"/>
  <c r="B190" i="19"/>
  <c r="B189" i="19"/>
  <c r="B188" i="19"/>
  <c r="B187" i="19"/>
  <c r="B186" i="19"/>
  <c r="B185" i="19"/>
  <c r="B184" i="19"/>
  <c r="B183" i="19"/>
  <c r="B182" i="19"/>
  <c r="B181" i="19"/>
  <c r="B39" i="10"/>
  <c r="B35" i="10"/>
  <c r="G25" i="2"/>
  <c r="G37" i="2"/>
  <c r="G36" i="2"/>
  <c r="G35" i="2"/>
  <c r="G34" i="2"/>
  <c r="G33" i="2"/>
  <c r="G32" i="2"/>
  <c r="G31" i="2"/>
  <c r="G30" i="2"/>
  <c r="G29" i="2"/>
  <c r="G28" i="2"/>
  <c r="G27" i="2"/>
  <c r="G26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D95" i="56" l="1"/>
  <c r="D99" i="56"/>
  <c r="A11" i="43"/>
  <c r="B11" i="43" s="1"/>
  <c r="C10" i="43"/>
  <c r="D10" i="43" s="1"/>
  <c r="B33" i="10"/>
  <c r="D93" i="56" l="1"/>
  <c r="A12" i="43"/>
  <c r="B12" i="43" s="1"/>
  <c r="C11" i="43"/>
  <c r="D11" i="43" s="1"/>
  <c r="C29" i="11"/>
  <c r="C30" i="15" s="1"/>
  <c r="C28" i="11"/>
  <c r="C29" i="15" s="1"/>
  <c r="C27" i="11"/>
  <c r="C28" i="15" s="1"/>
  <c r="C26" i="11"/>
  <c r="C27" i="15" s="1"/>
  <c r="C25" i="11"/>
  <c r="C26" i="15" s="1"/>
  <c r="C24" i="11"/>
  <c r="C25" i="15" s="1"/>
  <c r="C23" i="11"/>
  <c r="C24" i="15" s="1"/>
  <c r="C22" i="11"/>
  <c r="C23" i="15" s="1"/>
  <c r="C21" i="11"/>
  <c r="C20" i="11"/>
  <c r="C21" i="15" s="1"/>
  <c r="C19" i="11"/>
  <c r="C20" i="15" s="1"/>
  <c r="C18" i="11"/>
  <c r="C19" i="15" s="1"/>
  <c r="C17" i="11"/>
  <c r="C18" i="15" s="1"/>
  <c r="C16" i="11"/>
  <c r="C17" i="15" s="1"/>
  <c r="C15" i="11"/>
  <c r="C16" i="15" s="1"/>
  <c r="C14" i="11"/>
  <c r="C15" i="15" s="1"/>
  <c r="C13" i="11"/>
  <c r="C14" i="15" s="1"/>
  <c r="D12" i="11"/>
  <c r="D13" i="15" s="1"/>
  <c r="C12" i="11"/>
  <c r="C13" i="15" s="1"/>
  <c r="C11" i="11"/>
  <c r="S5" i="3"/>
  <c r="C5" i="3"/>
  <c r="C3" i="3"/>
  <c r="E45" i="3"/>
  <c r="I44" i="3"/>
  <c r="E44" i="3"/>
  <c r="I43" i="3"/>
  <c r="E43" i="3"/>
  <c r="I42" i="3"/>
  <c r="H42" i="3"/>
  <c r="E42" i="3"/>
  <c r="R39" i="3"/>
  <c r="R57" i="3" s="1"/>
  <c r="Q39" i="3"/>
  <c r="Q57" i="3" s="1"/>
  <c r="P39" i="3"/>
  <c r="P57" i="3" s="1"/>
  <c r="O39" i="3"/>
  <c r="O57" i="3" s="1"/>
  <c r="N39" i="3"/>
  <c r="N57" i="3" s="1"/>
  <c r="M39" i="3"/>
  <c r="M57" i="3" s="1"/>
  <c r="L39" i="3"/>
  <c r="L57" i="3" s="1"/>
  <c r="I39" i="3"/>
  <c r="I57" i="3" s="1"/>
  <c r="G39" i="3"/>
  <c r="G57" i="3" s="1"/>
  <c r="E39" i="3"/>
  <c r="E57" i="3" s="1"/>
  <c r="D39" i="3"/>
  <c r="C39" i="3"/>
  <c r="C57" i="3" s="1"/>
  <c r="B39" i="3"/>
  <c r="B57" i="3" s="1"/>
  <c r="R38" i="3"/>
  <c r="R56" i="3" s="1"/>
  <c r="Q38" i="3"/>
  <c r="Q56" i="3" s="1"/>
  <c r="P38" i="3"/>
  <c r="P56" i="3" s="1"/>
  <c r="O38" i="3"/>
  <c r="O56" i="3" s="1"/>
  <c r="N38" i="3"/>
  <c r="N56" i="3" s="1"/>
  <c r="M38" i="3"/>
  <c r="M56" i="3" s="1"/>
  <c r="L38" i="3"/>
  <c r="L56" i="3" s="1"/>
  <c r="I38" i="3"/>
  <c r="I56" i="3" s="1"/>
  <c r="G38" i="3"/>
  <c r="G56" i="3" s="1"/>
  <c r="E38" i="3"/>
  <c r="E56" i="3" s="1"/>
  <c r="D38" i="3"/>
  <c r="C38" i="3"/>
  <c r="C56" i="3" s="1"/>
  <c r="B38" i="3"/>
  <c r="B56" i="3" s="1"/>
  <c r="R37" i="3"/>
  <c r="R55" i="3" s="1"/>
  <c r="Q37" i="3"/>
  <c r="Q55" i="3" s="1"/>
  <c r="P37" i="3"/>
  <c r="P55" i="3" s="1"/>
  <c r="O37" i="3"/>
  <c r="O55" i="3" s="1"/>
  <c r="N37" i="3"/>
  <c r="N55" i="3" s="1"/>
  <c r="M37" i="3"/>
  <c r="M55" i="3" s="1"/>
  <c r="L37" i="3"/>
  <c r="L55" i="3" s="1"/>
  <c r="I37" i="3"/>
  <c r="I55" i="3" s="1"/>
  <c r="G37" i="3"/>
  <c r="G55" i="3" s="1"/>
  <c r="E37" i="3"/>
  <c r="E55" i="3" s="1"/>
  <c r="D37" i="3"/>
  <c r="C37" i="3"/>
  <c r="C55" i="3" s="1"/>
  <c r="B37" i="3"/>
  <c r="B55" i="3" s="1"/>
  <c r="R36" i="3"/>
  <c r="R54" i="3" s="1"/>
  <c r="Q36" i="3"/>
  <c r="Q54" i="3" s="1"/>
  <c r="P36" i="3"/>
  <c r="P54" i="3" s="1"/>
  <c r="O36" i="3"/>
  <c r="O54" i="3" s="1"/>
  <c r="N36" i="3"/>
  <c r="N54" i="3" s="1"/>
  <c r="M36" i="3"/>
  <c r="M54" i="3" s="1"/>
  <c r="L36" i="3"/>
  <c r="L54" i="3" s="1"/>
  <c r="I36" i="3"/>
  <c r="I54" i="3" s="1"/>
  <c r="G36" i="3"/>
  <c r="G54" i="3" s="1"/>
  <c r="E36" i="3"/>
  <c r="E54" i="3" s="1"/>
  <c r="D36" i="3"/>
  <c r="C36" i="3"/>
  <c r="C54" i="3" s="1"/>
  <c r="B36" i="3"/>
  <c r="B54" i="3" s="1"/>
  <c r="R35" i="3"/>
  <c r="R53" i="3" s="1"/>
  <c r="Q35" i="3"/>
  <c r="Q53" i="3" s="1"/>
  <c r="P35" i="3"/>
  <c r="P53" i="3" s="1"/>
  <c r="O35" i="3"/>
  <c r="O53" i="3" s="1"/>
  <c r="N35" i="3"/>
  <c r="N53" i="3" s="1"/>
  <c r="M35" i="3"/>
  <c r="M53" i="3" s="1"/>
  <c r="L35" i="3"/>
  <c r="L53" i="3" s="1"/>
  <c r="I35" i="3"/>
  <c r="I53" i="3" s="1"/>
  <c r="G35" i="3"/>
  <c r="G53" i="3" s="1"/>
  <c r="E35" i="3"/>
  <c r="E53" i="3" s="1"/>
  <c r="D35" i="3"/>
  <c r="C35" i="3"/>
  <c r="C53" i="3" s="1"/>
  <c r="B35" i="3"/>
  <c r="B53" i="3" s="1"/>
  <c r="R34" i="3"/>
  <c r="R52" i="3" s="1"/>
  <c r="Q34" i="3"/>
  <c r="Q52" i="3" s="1"/>
  <c r="P34" i="3"/>
  <c r="P52" i="3" s="1"/>
  <c r="O34" i="3"/>
  <c r="O52" i="3" s="1"/>
  <c r="N34" i="3"/>
  <c r="N52" i="3" s="1"/>
  <c r="M34" i="3"/>
  <c r="M52" i="3" s="1"/>
  <c r="L34" i="3"/>
  <c r="L52" i="3" s="1"/>
  <c r="I34" i="3"/>
  <c r="I52" i="3" s="1"/>
  <c r="G34" i="3"/>
  <c r="G52" i="3" s="1"/>
  <c r="E34" i="3"/>
  <c r="E52" i="3" s="1"/>
  <c r="D34" i="3"/>
  <c r="C34" i="3"/>
  <c r="C52" i="3" s="1"/>
  <c r="B34" i="3"/>
  <c r="B52" i="3" s="1"/>
  <c r="R33" i="3"/>
  <c r="R51" i="3" s="1"/>
  <c r="Q33" i="3"/>
  <c r="Q51" i="3" s="1"/>
  <c r="P33" i="3"/>
  <c r="P51" i="3" s="1"/>
  <c r="O33" i="3"/>
  <c r="O51" i="3" s="1"/>
  <c r="N33" i="3"/>
  <c r="N51" i="3" s="1"/>
  <c r="M33" i="3"/>
  <c r="M51" i="3" s="1"/>
  <c r="L33" i="3"/>
  <c r="L51" i="3" s="1"/>
  <c r="I33" i="3"/>
  <c r="I51" i="3" s="1"/>
  <c r="G33" i="3"/>
  <c r="G51" i="3" s="1"/>
  <c r="E33" i="3"/>
  <c r="E51" i="3" s="1"/>
  <c r="D33" i="3"/>
  <c r="C33" i="3"/>
  <c r="C51" i="3" s="1"/>
  <c r="B33" i="3"/>
  <c r="B51" i="3" s="1"/>
  <c r="R32" i="3"/>
  <c r="R50" i="3" s="1"/>
  <c r="Q32" i="3"/>
  <c r="Q50" i="3" s="1"/>
  <c r="P32" i="3"/>
  <c r="P50" i="3" s="1"/>
  <c r="O32" i="3"/>
  <c r="O50" i="3" s="1"/>
  <c r="N32" i="3"/>
  <c r="N50" i="3" s="1"/>
  <c r="M32" i="3"/>
  <c r="M50" i="3" s="1"/>
  <c r="L32" i="3"/>
  <c r="L50" i="3" s="1"/>
  <c r="I32" i="3"/>
  <c r="I50" i="3" s="1"/>
  <c r="G32" i="3"/>
  <c r="G50" i="3" s="1"/>
  <c r="E32" i="3"/>
  <c r="E50" i="3" s="1"/>
  <c r="D32" i="3"/>
  <c r="C32" i="3"/>
  <c r="C50" i="3" s="1"/>
  <c r="B32" i="3"/>
  <c r="B50" i="3" s="1"/>
  <c r="R31" i="3"/>
  <c r="R49" i="3" s="1"/>
  <c r="Q31" i="3"/>
  <c r="Q49" i="3" s="1"/>
  <c r="P31" i="3"/>
  <c r="P49" i="3" s="1"/>
  <c r="O31" i="3"/>
  <c r="O49" i="3" s="1"/>
  <c r="N31" i="3"/>
  <c r="N49" i="3" s="1"/>
  <c r="M31" i="3"/>
  <c r="M49" i="3" s="1"/>
  <c r="L31" i="3"/>
  <c r="L49" i="3" s="1"/>
  <c r="I31" i="3"/>
  <c r="I49" i="3" s="1"/>
  <c r="G31" i="3"/>
  <c r="G49" i="3" s="1"/>
  <c r="F31" i="3"/>
  <c r="E31" i="3"/>
  <c r="E49" i="3" s="1"/>
  <c r="D31" i="3"/>
  <c r="C31" i="3"/>
  <c r="C49" i="3" s="1"/>
  <c r="B31" i="3"/>
  <c r="B49" i="3" s="1"/>
  <c r="R30" i="3"/>
  <c r="R48" i="3" s="1"/>
  <c r="Q30" i="3"/>
  <c r="Q48" i="3" s="1"/>
  <c r="P30" i="3"/>
  <c r="P48" i="3" s="1"/>
  <c r="O30" i="3"/>
  <c r="O48" i="3" s="1"/>
  <c r="N30" i="3"/>
  <c r="N48" i="3" s="1"/>
  <c r="M30" i="3"/>
  <c r="M48" i="3" s="1"/>
  <c r="L30" i="3"/>
  <c r="L48" i="3" s="1"/>
  <c r="I30" i="3"/>
  <c r="I48" i="3" s="1"/>
  <c r="G30" i="3"/>
  <c r="G48" i="3" s="1"/>
  <c r="E30" i="3"/>
  <c r="E48" i="3" s="1"/>
  <c r="D30" i="3"/>
  <c r="S30" i="3" s="1"/>
  <c r="C30" i="3"/>
  <c r="C48" i="3" s="1"/>
  <c r="B30" i="3"/>
  <c r="B48" i="3" s="1"/>
  <c r="R29" i="3"/>
  <c r="R47" i="3" s="1"/>
  <c r="Q29" i="3"/>
  <c r="Q47" i="3" s="1"/>
  <c r="P29" i="3"/>
  <c r="P47" i="3" s="1"/>
  <c r="O29" i="3"/>
  <c r="O47" i="3" s="1"/>
  <c r="N29" i="3"/>
  <c r="N47" i="3" s="1"/>
  <c r="M29" i="3"/>
  <c r="M47" i="3" s="1"/>
  <c r="L29" i="3"/>
  <c r="L47" i="3" s="1"/>
  <c r="I47" i="3"/>
  <c r="G29" i="3"/>
  <c r="G47" i="3" s="1"/>
  <c r="F29" i="3"/>
  <c r="E29" i="3"/>
  <c r="E47" i="3" s="1"/>
  <c r="D29" i="3"/>
  <c r="S29" i="3" s="1"/>
  <c r="C29" i="3"/>
  <c r="C47" i="3" s="1"/>
  <c r="B29" i="3"/>
  <c r="B47" i="3" s="1"/>
  <c r="R28" i="3"/>
  <c r="R46" i="3" s="1"/>
  <c r="Q28" i="3"/>
  <c r="Q46" i="3" s="1"/>
  <c r="P28" i="3"/>
  <c r="P46" i="3" s="1"/>
  <c r="O28" i="3"/>
  <c r="O46" i="3" s="1"/>
  <c r="N28" i="3"/>
  <c r="N46" i="3" s="1"/>
  <c r="M28" i="3"/>
  <c r="M46" i="3" s="1"/>
  <c r="L28" i="3"/>
  <c r="L46" i="3" s="1"/>
  <c r="I46" i="3"/>
  <c r="G28" i="3"/>
  <c r="G46" i="3" s="1"/>
  <c r="E28" i="3"/>
  <c r="E46" i="3" s="1"/>
  <c r="D28" i="3"/>
  <c r="S28" i="3" s="1"/>
  <c r="C28" i="3"/>
  <c r="C46" i="3" s="1"/>
  <c r="B28" i="3"/>
  <c r="B46" i="3" s="1"/>
  <c r="R27" i="3"/>
  <c r="R45" i="3" s="1"/>
  <c r="Q27" i="3"/>
  <c r="Q45" i="3" s="1"/>
  <c r="P27" i="3"/>
  <c r="P45" i="3" s="1"/>
  <c r="O27" i="3"/>
  <c r="O45" i="3" s="1"/>
  <c r="N27" i="3"/>
  <c r="N45" i="3" s="1"/>
  <c r="M27" i="3"/>
  <c r="M45" i="3" s="1"/>
  <c r="L27" i="3"/>
  <c r="L45" i="3" s="1"/>
  <c r="I45" i="3"/>
  <c r="G27" i="3"/>
  <c r="G45" i="3" s="1"/>
  <c r="F27" i="3"/>
  <c r="F45" i="3" s="1"/>
  <c r="D27" i="3"/>
  <c r="S27" i="3" s="1"/>
  <c r="C27" i="3"/>
  <c r="C45" i="3" s="1"/>
  <c r="B27" i="3"/>
  <c r="B45" i="3" s="1"/>
  <c r="R26" i="3"/>
  <c r="R44" i="3" s="1"/>
  <c r="Q26" i="3"/>
  <c r="Q44" i="3" s="1"/>
  <c r="P26" i="3"/>
  <c r="P44" i="3" s="1"/>
  <c r="O26" i="3"/>
  <c r="O44" i="3" s="1"/>
  <c r="N26" i="3"/>
  <c r="N44" i="3" s="1"/>
  <c r="M26" i="3"/>
  <c r="M44" i="3" s="1"/>
  <c r="L26" i="3"/>
  <c r="L44" i="3" s="1"/>
  <c r="J44" i="3" s="1"/>
  <c r="G26" i="3"/>
  <c r="G44" i="3" s="1"/>
  <c r="F26" i="3"/>
  <c r="F44" i="3" s="1"/>
  <c r="D26" i="3"/>
  <c r="D44" i="3" s="1"/>
  <c r="S44" i="3" s="1"/>
  <c r="C26" i="3"/>
  <c r="C44" i="3" s="1"/>
  <c r="B26" i="3"/>
  <c r="B44" i="3" s="1"/>
  <c r="R25" i="3"/>
  <c r="R43" i="3" s="1"/>
  <c r="Q25" i="3"/>
  <c r="Q43" i="3" s="1"/>
  <c r="P25" i="3"/>
  <c r="P43" i="3" s="1"/>
  <c r="O25" i="3"/>
  <c r="O43" i="3" s="1"/>
  <c r="N25" i="3"/>
  <c r="N43" i="3" s="1"/>
  <c r="M25" i="3"/>
  <c r="M43" i="3" s="1"/>
  <c r="L25" i="3"/>
  <c r="L43" i="3" s="1"/>
  <c r="G25" i="3"/>
  <c r="G43" i="3" s="1"/>
  <c r="F25" i="3"/>
  <c r="F43" i="3" s="1"/>
  <c r="D25" i="3"/>
  <c r="C25" i="3"/>
  <c r="C43" i="3" s="1"/>
  <c r="B25" i="3"/>
  <c r="B43" i="3" s="1"/>
  <c r="R24" i="3"/>
  <c r="R42" i="3" s="1"/>
  <c r="Q24" i="3"/>
  <c r="Q42" i="3" s="1"/>
  <c r="P24" i="3"/>
  <c r="P42" i="3" s="1"/>
  <c r="O24" i="3"/>
  <c r="O42" i="3" s="1"/>
  <c r="N24" i="3"/>
  <c r="N42" i="3" s="1"/>
  <c r="M24" i="3"/>
  <c r="M42" i="3" s="1"/>
  <c r="L24" i="3"/>
  <c r="L42" i="3" s="1"/>
  <c r="I24" i="3"/>
  <c r="H24" i="3"/>
  <c r="E24" i="3"/>
  <c r="S20" i="3"/>
  <c r="J20" i="3"/>
  <c r="H95" i="19" s="1"/>
  <c r="H20" i="3"/>
  <c r="F39" i="3"/>
  <c r="S19" i="3"/>
  <c r="B162" i="9" s="1"/>
  <c r="J19" i="3"/>
  <c r="H94" i="19" s="1"/>
  <c r="F38" i="3"/>
  <c r="S18" i="3"/>
  <c r="B161" i="9" s="1"/>
  <c r="J18" i="3"/>
  <c r="H93" i="19" s="1"/>
  <c r="H18" i="3"/>
  <c r="F37" i="3"/>
  <c r="S17" i="3"/>
  <c r="B160" i="9" s="1"/>
  <c r="J17" i="3"/>
  <c r="H92" i="19" s="1"/>
  <c r="F36" i="3"/>
  <c r="S16" i="3"/>
  <c r="B159" i="9" s="1"/>
  <c r="J16" i="3"/>
  <c r="H91" i="19" s="1"/>
  <c r="H16" i="3"/>
  <c r="F35" i="3"/>
  <c r="S15" i="3"/>
  <c r="B158" i="9" s="1"/>
  <c r="J15" i="3"/>
  <c r="H90" i="19" s="1"/>
  <c r="F34" i="3"/>
  <c r="S14" i="3"/>
  <c r="B157" i="9" s="1"/>
  <c r="J14" i="3"/>
  <c r="H89" i="19" s="1"/>
  <c r="H14" i="3"/>
  <c r="F33" i="3"/>
  <c r="S13" i="3"/>
  <c r="B156" i="9" s="1"/>
  <c r="J13" i="3"/>
  <c r="H88" i="19" s="1"/>
  <c r="S12" i="3"/>
  <c r="B155" i="9" s="1"/>
  <c r="J12" i="3"/>
  <c r="H87" i="19" s="1"/>
  <c r="H12" i="3"/>
  <c r="S11" i="3"/>
  <c r="B154" i="9" s="1"/>
  <c r="J11" i="3"/>
  <c r="H86" i="19" s="1"/>
  <c r="S10" i="3"/>
  <c r="B153" i="9" s="1"/>
  <c r="J10" i="3"/>
  <c r="H85" i="19" s="1"/>
  <c r="S9" i="3"/>
  <c r="B152" i="9" s="1"/>
  <c r="J9" i="3"/>
  <c r="H84" i="19" s="1"/>
  <c r="S8" i="3"/>
  <c r="B151" i="9" s="1"/>
  <c r="J8" i="3"/>
  <c r="H83" i="19" s="1"/>
  <c r="S7" i="3"/>
  <c r="B150" i="9" s="1"/>
  <c r="J7" i="3"/>
  <c r="H82" i="19" s="1"/>
  <c r="S6" i="3"/>
  <c r="B149" i="9" s="1"/>
  <c r="J6" i="3"/>
  <c r="F42" i="3"/>
  <c r="F51" i="2"/>
  <c r="C51" i="2"/>
  <c r="B46" i="8"/>
  <c r="AB41" i="8"/>
  <c r="AC41" i="8" s="1"/>
  <c r="AC44" i="8" s="1"/>
  <c r="P41" i="8"/>
  <c r="Q41" i="8" s="1"/>
  <c r="Q44" i="8" s="1"/>
  <c r="D41" i="8"/>
  <c r="D44" i="8" s="1"/>
  <c r="AM38" i="8"/>
  <c r="AL36" i="11" s="1"/>
  <c r="AL38" i="8"/>
  <c r="AK36" i="11" s="1"/>
  <c r="AK38" i="8"/>
  <c r="AJ36" i="11" s="1"/>
  <c r="AJ38" i="8"/>
  <c r="AI36" i="11" s="1"/>
  <c r="AI38" i="8"/>
  <c r="AH36" i="11" s="1"/>
  <c r="AH38" i="8"/>
  <c r="AG36" i="11" s="1"/>
  <c r="AG38" i="8"/>
  <c r="AF36" i="11" s="1"/>
  <c r="AF38" i="8"/>
  <c r="AE36" i="11" s="1"/>
  <c r="AE38" i="8"/>
  <c r="AD36" i="11" s="1"/>
  <c r="AD38" i="8"/>
  <c r="AC36" i="11" s="1"/>
  <c r="AC38" i="8"/>
  <c r="AB36" i="11" s="1"/>
  <c r="AB38" i="8"/>
  <c r="AA36" i="11" s="1"/>
  <c r="AA38" i="8"/>
  <c r="Z36" i="11" s="1"/>
  <c r="Z38" i="8"/>
  <c r="Y36" i="11" s="1"/>
  <c r="Y38" i="8"/>
  <c r="X36" i="11" s="1"/>
  <c r="X38" i="8"/>
  <c r="W36" i="11" s="1"/>
  <c r="W38" i="8"/>
  <c r="V36" i="11" s="1"/>
  <c r="V38" i="8"/>
  <c r="U36" i="11" s="1"/>
  <c r="U38" i="8"/>
  <c r="T36" i="11" s="1"/>
  <c r="T38" i="8"/>
  <c r="S36" i="11" s="1"/>
  <c r="S38" i="8"/>
  <c r="R36" i="11" s="1"/>
  <c r="R38" i="8"/>
  <c r="Q36" i="11" s="1"/>
  <c r="Q38" i="8"/>
  <c r="P36" i="11" s="1"/>
  <c r="P38" i="8"/>
  <c r="O36" i="11" s="1"/>
  <c r="O38" i="8"/>
  <c r="N36" i="11" s="1"/>
  <c r="N38" i="8"/>
  <c r="M36" i="11" s="1"/>
  <c r="M38" i="8"/>
  <c r="L36" i="11" s="1"/>
  <c r="L38" i="8"/>
  <c r="K36" i="11" s="1"/>
  <c r="K38" i="8"/>
  <c r="J36" i="11" s="1"/>
  <c r="J38" i="8"/>
  <c r="I36" i="11" s="1"/>
  <c r="I38" i="8"/>
  <c r="H36" i="11" s="1"/>
  <c r="H38" i="8"/>
  <c r="G36" i="11" s="1"/>
  <c r="G38" i="8"/>
  <c r="F36" i="11" s="1"/>
  <c r="F38" i="8"/>
  <c r="E36" i="11" s="1"/>
  <c r="E38" i="8"/>
  <c r="D36" i="11" s="1"/>
  <c r="B39" i="15"/>
  <c r="A50" i="13"/>
  <c r="B50" i="13" s="1"/>
  <c r="AP71" i="13"/>
  <c r="AS61" i="13"/>
  <c r="AR61" i="13"/>
  <c r="AQ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G59" i="13"/>
  <c r="AD56" i="13"/>
  <c r="AE66" i="13" s="1"/>
  <c r="AC56" i="13"/>
  <c r="AD66" i="13" s="1"/>
  <c r="AB56" i="13"/>
  <c r="AC66" i="13" s="1"/>
  <c r="AA56" i="13"/>
  <c r="AB66" i="13" s="1"/>
  <c r="Z56" i="13"/>
  <c r="AA66" i="13" s="1"/>
  <c r="Y56" i="13"/>
  <c r="Z66" i="13" s="1"/>
  <c r="X56" i="13"/>
  <c r="Y66" i="13" s="1"/>
  <c r="W56" i="13"/>
  <c r="X66" i="13" s="1"/>
  <c r="V56" i="13"/>
  <c r="W66" i="13" s="1"/>
  <c r="U56" i="13"/>
  <c r="V66" i="13" s="1"/>
  <c r="T56" i="13"/>
  <c r="U66" i="13" s="1"/>
  <c r="S56" i="13"/>
  <c r="T66" i="13" s="1"/>
  <c r="AS54" i="13"/>
  <c r="AS60" i="13" s="1"/>
  <c r="AR54" i="13"/>
  <c r="AS65" i="13" s="1"/>
  <c r="AQ54" i="13"/>
  <c r="AR65" i="13" s="1"/>
  <c r="AS52" i="13"/>
  <c r="AS59" i="13" s="1"/>
  <c r="AR52" i="13"/>
  <c r="AS64" i="13" s="1"/>
  <c r="AQ52" i="13"/>
  <c r="AR64" i="13" s="1"/>
  <c r="F43" i="13"/>
  <c r="E43" i="13"/>
  <c r="D43" i="13"/>
  <c r="C43" i="13"/>
  <c r="AR59" i="13" l="1"/>
  <c r="T61" i="13"/>
  <c r="X61" i="13"/>
  <c r="AB61" i="13"/>
  <c r="H81" i="19"/>
  <c r="K6" i="3"/>
  <c r="AR60" i="13"/>
  <c r="V61" i="13"/>
  <c r="Z61" i="13"/>
  <c r="AD61" i="13"/>
  <c r="P44" i="8"/>
  <c r="A13" i="43"/>
  <c r="B13" i="43" s="1"/>
  <c r="C12" i="43"/>
  <c r="D12" i="43" s="1"/>
  <c r="C22" i="15"/>
  <c r="E41" i="8"/>
  <c r="E44" i="8" s="1"/>
  <c r="AB44" i="8"/>
  <c r="C42" i="3"/>
  <c r="D5" i="3"/>
  <c r="D24" i="3" s="1"/>
  <c r="G5" i="3"/>
  <c r="G42" i="3" s="1"/>
  <c r="J46" i="3"/>
  <c r="K16" i="3"/>
  <c r="K7" i="3"/>
  <c r="T7" i="3"/>
  <c r="K10" i="3"/>
  <c r="T16" i="3"/>
  <c r="T10" i="3"/>
  <c r="K11" i="3"/>
  <c r="K15" i="3"/>
  <c r="K19" i="3"/>
  <c r="T20" i="3"/>
  <c r="K44" i="3"/>
  <c r="K46" i="3"/>
  <c r="J29" i="3"/>
  <c r="J30" i="3"/>
  <c r="K30" i="3" s="1"/>
  <c r="T6" i="3"/>
  <c r="T8" i="3"/>
  <c r="K9" i="3"/>
  <c r="T12" i="3"/>
  <c r="K13" i="3"/>
  <c r="T14" i="3"/>
  <c r="K17" i="3"/>
  <c r="T18" i="3"/>
  <c r="J25" i="3"/>
  <c r="T25" i="3" s="1"/>
  <c r="U25" i="3" s="1"/>
  <c r="E32" i="15"/>
  <c r="G32" i="15"/>
  <c r="I32" i="15"/>
  <c r="K32" i="15"/>
  <c r="M32" i="15"/>
  <c r="O32" i="15"/>
  <c r="Q32" i="15"/>
  <c r="S32" i="15"/>
  <c r="U32" i="15"/>
  <c r="W32" i="15"/>
  <c r="Y32" i="15"/>
  <c r="AA32" i="15"/>
  <c r="AC32" i="15"/>
  <c r="AE32" i="15"/>
  <c r="AG32" i="15"/>
  <c r="AI32" i="15"/>
  <c r="AK32" i="15"/>
  <c r="D32" i="15"/>
  <c r="F32" i="15"/>
  <c r="H32" i="15"/>
  <c r="J32" i="15"/>
  <c r="L32" i="15"/>
  <c r="N32" i="15"/>
  <c r="P32" i="15"/>
  <c r="R32" i="15"/>
  <c r="T32" i="15"/>
  <c r="V32" i="15"/>
  <c r="X32" i="15"/>
  <c r="Z32" i="15"/>
  <c r="AB32" i="15"/>
  <c r="AD32" i="15"/>
  <c r="AF32" i="15"/>
  <c r="AH32" i="15"/>
  <c r="AJ32" i="15"/>
  <c r="AL32" i="15"/>
  <c r="K20" i="3"/>
  <c r="K8" i="3"/>
  <c r="K12" i="3"/>
  <c r="K14" i="3"/>
  <c r="K18" i="3"/>
  <c r="J43" i="3"/>
  <c r="K43" i="3" s="1"/>
  <c r="J26" i="3"/>
  <c r="T26" i="3" s="1"/>
  <c r="U26" i="3" s="1"/>
  <c r="J45" i="3"/>
  <c r="K45" i="3" s="1"/>
  <c r="J47" i="3"/>
  <c r="K47" i="3" s="1"/>
  <c r="J31" i="3"/>
  <c r="K31" i="3" s="1"/>
  <c r="J32" i="3"/>
  <c r="K32" i="3" s="1"/>
  <c r="J33" i="3"/>
  <c r="K33" i="3" s="1"/>
  <c r="J34" i="3"/>
  <c r="K34" i="3" s="1"/>
  <c r="J35" i="3"/>
  <c r="K35" i="3" s="1"/>
  <c r="J36" i="3"/>
  <c r="K36" i="3" s="1"/>
  <c r="J37" i="3"/>
  <c r="K37" i="3" s="1"/>
  <c r="J38" i="3"/>
  <c r="K38" i="3" s="1"/>
  <c r="J39" i="3"/>
  <c r="K39" i="3" s="1"/>
  <c r="K29" i="3"/>
  <c r="F28" i="3"/>
  <c r="T9" i="3"/>
  <c r="F32" i="3"/>
  <c r="T13" i="3"/>
  <c r="H13" i="3"/>
  <c r="F52" i="3"/>
  <c r="H34" i="3"/>
  <c r="F53" i="3"/>
  <c r="T35" i="3"/>
  <c r="U35" i="3" s="1"/>
  <c r="H35" i="3"/>
  <c r="F56" i="3"/>
  <c r="H38" i="3"/>
  <c r="F57" i="3"/>
  <c r="T39" i="3"/>
  <c r="U39" i="3" s="1"/>
  <c r="H39" i="3"/>
  <c r="H43" i="3"/>
  <c r="H45" i="3"/>
  <c r="F30" i="3"/>
  <c r="T11" i="3"/>
  <c r="H11" i="3"/>
  <c r="F51" i="3"/>
  <c r="H33" i="3"/>
  <c r="F54" i="3"/>
  <c r="H36" i="3"/>
  <c r="F55" i="3"/>
  <c r="H37" i="3"/>
  <c r="T44" i="3"/>
  <c r="U44" i="3" s="1"/>
  <c r="H44" i="3"/>
  <c r="H15" i="3"/>
  <c r="T15" i="3"/>
  <c r="H17" i="3"/>
  <c r="T17" i="3"/>
  <c r="H19" i="3"/>
  <c r="T19" i="3"/>
  <c r="F24" i="3"/>
  <c r="H25" i="3"/>
  <c r="S25" i="3"/>
  <c r="H26" i="3"/>
  <c r="K26" i="3"/>
  <c r="S26" i="3"/>
  <c r="H27" i="3"/>
  <c r="J27" i="3"/>
  <c r="K27" i="3" s="1"/>
  <c r="J28" i="3"/>
  <c r="K28" i="3" s="1"/>
  <c r="J48" i="3"/>
  <c r="K48" i="3" s="1"/>
  <c r="J49" i="3"/>
  <c r="K49" i="3" s="1"/>
  <c r="J50" i="3"/>
  <c r="K50" i="3" s="1"/>
  <c r="J51" i="3"/>
  <c r="K51" i="3" s="1"/>
  <c r="J52" i="3"/>
  <c r="K52" i="3" s="1"/>
  <c r="J53" i="3"/>
  <c r="K53" i="3" s="1"/>
  <c r="J54" i="3"/>
  <c r="K54" i="3" s="1"/>
  <c r="J55" i="3"/>
  <c r="K55" i="3" s="1"/>
  <c r="J56" i="3"/>
  <c r="K56" i="3" s="1"/>
  <c r="J57" i="3"/>
  <c r="K57" i="3" s="1"/>
  <c r="D43" i="3"/>
  <c r="S43" i="3" s="1"/>
  <c r="D45" i="3"/>
  <c r="S45" i="3" s="1"/>
  <c r="D46" i="3"/>
  <c r="S46" i="3" s="1"/>
  <c r="F47" i="3"/>
  <c r="D48" i="3"/>
  <c r="S48" i="3" s="1"/>
  <c r="C24" i="3"/>
  <c r="H29" i="3"/>
  <c r="T29" i="3"/>
  <c r="U29" i="3" s="1"/>
  <c r="D49" i="3"/>
  <c r="S49" i="3" s="1"/>
  <c r="S31" i="3"/>
  <c r="F49" i="3"/>
  <c r="H31" i="3"/>
  <c r="T31" i="3"/>
  <c r="U31" i="3" s="1"/>
  <c r="D50" i="3"/>
  <c r="S50" i="3" s="1"/>
  <c r="S32" i="3"/>
  <c r="D51" i="3"/>
  <c r="S51" i="3" s="1"/>
  <c r="S33" i="3"/>
  <c r="D52" i="3"/>
  <c r="S52" i="3" s="1"/>
  <c r="S34" i="3"/>
  <c r="D53" i="3"/>
  <c r="S53" i="3" s="1"/>
  <c r="S35" i="3"/>
  <c r="D54" i="3"/>
  <c r="S54" i="3" s="1"/>
  <c r="S36" i="3"/>
  <c r="D55" i="3"/>
  <c r="S55" i="3" s="1"/>
  <c r="S37" i="3"/>
  <c r="D56" i="3"/>
  <c r="S56" i="3" s="1"/>
  <c r="S38" i="3"/>
  <c r="D57" i="3"/>
  <c r="S57" i="3" s="1"/>
  <c r="S39" i="3"/>
  <c r="D47" i="3"/>
  <c r="S47" i="3" s="1"/>
  <c r="R41" i="8"/>
  <c r="AD41" i="8"/>
  <c r="B58" i="13"/>
  <c r="B63" i="13" s="1"/>
  <c r="B52" i="13"/>
  <c r="AQ60" i="13"/>
  <c r="AQ59" i="13"/>
  <c r="S61" i="13"/>
  <c r="U61" i="13"/>
  <c r="W61" i="13"/>
  <c r="Y61" i="13"/>
  <c r="AA61" i="13"/>
  <c r="AC61" i="13"/>
  <c r="F67" i="1"/>
  <c r="F65" i="1"/>
  <c r="B71" i="1"/>
  <c r="B70" i="1"/>
  <c r="B68" i="1"/>
  <c r="B67" i="1"/>
  <c r="B66" i="1"/>
  <c r="B1" i="13" s="1"/>
  <c r="F64" i="1"/>
  <c r="C64" i="1"/>
  <c r="U11" i="3" l="1"/>
  <c r="J86" i="19" s="1"/>
  <c r="I86" i="19"/>
  <c r="U18" i="3"/>
  <c r="J93" i="19" s="1"/>
  <c r="I93" i="19"/>
  <c r="U14" i="3"/>
  <c r="J89" i="19" s="1"/>
  <c r="I89" i="19"/>
  <c r="U12" i="3"/>
  <c r="J87" i="19" s="1"/>
  <c r="I87" i="19"/>
  <c r="U20" i="3"/>
  <c r="J95" i="19" s="1"/>
  <c r="I95" i="19"/>
  <c r="U10" i="3"/>
  <c r="J85" i="19" s="1"/>
  <c r="I85" i="19"/>
  <c r="U19" i="3"/>
  <c r="J94" i="19" s="1"/>
  <c r="I94" i="19"/>
  <c r="U17" i="3"/>
  <c r="J92" i="19" s="1"/>
  <c r="I92" i="19"/>
  <c r="U15" i="3"/>
  <c r="J90" i="19" s="1"/>
  <c r="I90" i="19"/>
  <c r="U13" i="3"/>
  <c r="J88" i="19" s="1"/>
  <c r="I88" i="19"/>
  <c r="U16" i="3"/>
  <c r="J91" i="19" s="1"/>
  <c r="I91" i="19"/>
  <c r="U9" i="3"/>
  <c r="J84" i="19" s="1"/>
  <c r="I84" i="19"/>
  <c r="U8" i="3"/>
  <c r="J83" i="19" s="1"/>
  <c r="I83" i="19"/>
  <c r="U7" i="3"/>
  <c r="J82" i="19" s="1"/>
  <c r="I82" i="19"/>
  <c r="U6" i="3"/>
  <c r="I81" i="19"/>
  <c r="T45" i="3"/>
  <c r="U45" i="3" s="1"/>
  <c r="F41" i="8"/>
  <c r="F44" i="8" s="1"/>
  <c r="A14" i="43"/>
  <c r="B14" i="43" s="1"/>
  <c r="C13" i="43"/>
  <c r="D13" i="43" s="1"/>
  <c r="T34" i="3"/>
  <c r="U34" i="3" s="1"/>
  <c r="K25" i="3"/>
  <c r="T51" i="3"/>
  <c r="U51" i="3" s="1"/>
  <c r="T38" i="3"/>
  <c r="U38" i="3" s="1"/>
  <c r="T49" i="3"/>
  <c r="U49" i="3" s="1"/>
  <c r="T36" i="3"/>
  <c r="U36" i="3" s="1"/>
  <c r="T28" i="3"/>
  <c r="U28" i="3" s="1"/>
  <c r="D42" i="3"/>
  <c r="T27" i="3"/>
  <c r="U27" i="3" s="1"/>
  <c r="T43" i="3"/>
  <c r="U43" i="3" s="1"/>
  <c r="T55" i="3"/>
  <c r="U55" i="3" s="1"/>
  <c r="G24" i="3"/>
  <c r="T37" i="3"/>
  <c r="U37" i="3" s="1"/>
  <c r="T33" i="3"/>
  <c r="U33" i="3" s="1"/>
  <c r="T57" i="3"/>
  <c r="U57" i="3" s="1"/>
  <c r="T53" i="3"/>
  <c r="U53" i="3" s="1"/>
  <c r="H49" i="3"/>
  <c r="H47" i="3"/>
  <c r="T56" i="3"/>
  <c r="U56" i="3" s="1"/>
  <c r="T54" i="3"/>
  <c r="U54" i="3" s="1"/>
  <c r="T52" i="3"/>
  <c r="U52" i="3" s="1"/>
  <c r="H55" i="3"/>
  <c r="H54" i="3"/>
  <c r="H51" i="3"/>
  <c r="H57" i="3"/>
  <c r="H56" i="3"/>
  <c r="H53" i="3"/>
  <c r="H52" i="3"/>
  <c r="F50" i="3"/>
  <c r="T32" i="3"/>
  <c r="U32" i="3" s="1"/>
  <c r="H32" i="3"/>
  <c r="F48" i="3"/>
  <c r="T30" i="3"/>
  <c r="U30" i="3" s="1"/>
  <c r="H30" i="3"/>
  <c r="T47" i="3"/>
  <c r="U47" i="3" s="1"/>
  <c r="F46" i="3"/>
  <c r="H28" i="3"/>
  <c r="AE41" i="8"/>
  <c r="AD44" i="8"/>
  <c r="S41" i="8"/>
  <c r="R44" i="8"/>
  <c r="B54" i="13"/>
  <c r="B59" i="13"/>
  <c r="B64" i="13" s="1"/>
  <c r="B104" i="19"/>
  <c r="J81" i="19" l="1"/>
  <c r="F4" i="50"/>
  <c r="F5" i="50" s="1"/>
  <c r="F12" i="50" s="1"/>
  <c r="C16" i="50" s="1"/>
  <c r="E16" i="50" s="1"/>
  <c r="G41" i="8"/>
  <c r="G44" i="8" s="1"/>
  <c r="A15" i="43"/>
  <c r="B15" i="43" s="1"/>
  <c r="C14" i="43"/>
  <c r="D14" i="43" s="1"/>
  <c r="H46" i="3"/>
  <c r="T46" i="3"/>
  <c r="U46" i="3" s="1"/>
  <c r="H50" i="3"/>
  <c r="T50" i="3"/>
  <c r="U50" i="3" s="1"/>
  <c r="H48" i="3"/>
  <c r="T48" i="3"/>
  <c r="U48" i="3" s="1"/>
  <c r="S44" i="8"/>
  <c r="T41" i="8"/>
  <c r="AE44" i="8"/>
  <c r="AF41" i="8"/>
  <c r="B56" i="13"/>
  <c r="B61" i="13" s="1"/>
  <c r="B66" i="13" s="1"/>
  <c r="B60" i="13"/>
  <c r="B65" i="13" s="1"/>
  <c r="H41" i="8" l="1"/>
  <c r="I41" i="8" s="1"/>
  <c r="A16" i="43"/>
  <c r="B16" i="43" s="1"/>
  <c r="C15" i="43"/>
  <c r="D15" i="43" s="1"/>
  <c r="AG41" i="8"/>
  <c r="AF44" i="8"/>
  <c r="U41" i="8"/>
  <c r="T44" i="8"/>
  <c r="E12" i="11"/>
  <c r="E13" i="15" s="1"/>
  <c r="H44" i="8" l="1"/>
  <c r="A17" i="43"/>
  <c r="B17" i="43" s="1"/>
  <c r="C16" i="43"/>
  <c r="D16" i="43" s="1"/>
  <c r="U44" i="8"/>
  <c r="V41" i="8"/>
  <c r="I44" i="8"/>
  <c r="J41" i="8"/>
  <c r="AG44" i="8"/>
  <c r="AH41" i="8"/>
  <c r="F12" i="11"/>
  <c r="F13" i="15" s="1"/>
  <c r="C6" i="34"/>
  <c r="C5" i="34"/>
  <c r="C4" i="34"/>
  <c r="A18" i="43" l="1"/>
  <c r="B18" i="43" s="1"/>
  <c r="C17" i="43"/>
  <c r="D17" i="43" s="1"/>
  <c r="AI41" i="8"/>
  <c r="AH44" i="8"/>
  <c r="K41" i="8"/>
  <c r="J44" i="8"/>
  <c r="W41" i="8"/>
  <c r="V44" i="8"/>
  <c r="G12" i="11"/>
  <c r="G13" i="15" s="1"/>
  <c r="K37" i="42"/>
  <c r="B36" i="42"/>
  <c r="D36" i="42" s="1"/>
  <c r="B35" i="42"/>
  <c r="D35" i="42" s="1"/>
  <c r="B34" i="42"/>
  <c r="D34" i="42" s="1"/>
  <c r="B33" i="42"/>
  <c r="D33" i="42" s="1"/>
  <c r="B32" i="42"/>
  <c r="D32" i="42" s="1"/>
  <c r="B31" i="42"/>
  <c r="D31" i="42" s="1"/>
  <c r="B30" i="42"/>
  <c r="D30" i="42" s="1"/>
  <c r="B29" i="42"/>
  <c r="D29" i="42" s="1"/>
  <c r="B28" i="42"/>
  <c r="D28" i="42" s="1"/>
  <c r="B27" i="42"/>
  <c r="D27" i="42" s="1"/>
  <c r="B26" i="42"/>
  <c r="D26" i="42" s="1"/>
  <c r="B25" i="42"/>
  <c r="D25" i="42" s="1"/>
  <c r="K20" i="42"/>
  <c r="B20" i="42"/>
  <c r="D19" i="42"/>
  <c r="M19" i="42" s="1"/>
  <c r="D18" i="42"/>
  <c r="M18" i="42" s="1"/>
  <c r="D17" i="42"/>
  <c r="M17" i="42" s="1"/>
  <c r="D16" i="42"/>
  <c r="M16" i="42" s="1"/>
  <c r="D15" i="42"/>
  <c r="M15" i="42" s="1"/>
  <c r="D14" i="42"/>
  <c r="M14" i="42" s="1"/>
  <c r="D13" i="42"/>
  <c r="M13" i="42" s="1"/>
  <c r="D12" i="42"/>
  <c r="M12" i="42" s="1"/>
  <c r="D11" i="42"/>
  <c r="M11" i="42" s="1"/>
  <c r="D10" i="42"/>
  <c r="M10" i="42" s="1"/>
  <c r="D9" i="42"/>
  <c r="D8" i="42"/>
  <c r="M8" i="42" s="1"/>
  <c r="L1" i="42"/>
  <c r="A19" i="43" l="1"/>
  <c r="B19" i="43" s="1"/>
  <c r="C18" i="43"/>
  <c r="D18" i="43" s="1"/>
  <c r="W44" i="8"/>
  <c r="X41" i="8"/>
  <c r="K44" i="8"/>
  <c r="L41" i="8"/>
  <c r="AI44" i="8"/>
  <c r="AJ41" i="8"/>
  <c r="H12" i="11"/>
  <c r="H13" i="15" s="1"/>
  <c r="F10" i="42"/>
  <c r="H26" i="42"/>
  <c r="J26" i="42" s="1"/>
  <c r="M26" i="42"/>
  <c r="H28" i="42"/>
  <c r="J28" i="42" s="1"/>
  <c r="M28" i="42"/>
  <c r="H30" i="42"/>
  <c r="O30" i="42" s="1"/>
  <c r="M30" i="42"/>
  <c r="H32" i="42"/>
  <c r="O32" i="42" s="1"/>
  <c r="M32" i="42"/>
  <c r="F19" i="42"/>
  <c r="N19" i="42" s="1"/>
  <c r="D20" i="42"/>
  <c r="F11" i="42"/>
  <c r="H11" i="42" s="1"/>
  <c r="O11" i="42" s="1"/>
  <c r="F12" i="42"/>
  <c r="F13" i="42"/>
  <c r="H13" i="42" s="1"/>
  <c r="O13" i="42" s="1"/>
  <c r="F14" i="42"/>
  <c r="F15" i="42"/>
  <c r="H15" i="42" s="1"/>
  <c r="O15" i="42" s="1"/>
  <c r="F16" i="42"/>
  <c r="F17" i="42"/>
  <c r="N17" i="42" s="1"/>
  <c r="H10" i="42"/>
  <c r="N10" i="42"/>
  <c r="M9" i="42"/>
  <c r="H17" i="42"/>
  <c r="D37" i="42"/>
  <c r="F26" i="42"/>
  <c r="N26" i="42" s="1"/>
  <c r="F25" i="42"/>
  <c r="M25" i="42"/>
  <c r="H25" i="42"/>
  <c r="F30" i="42"/>
  <c r="N30" i="42" s="1"/>
  <c r="M29" i="42"/>
  <c r="H29" i="42"/>
  <c r="M33" i="42"/>
  <c r="H33" i="42"/>
  <c r="F34" i="42"/>
  <c r="N34" i="42" s="1"/>
  <c r="M35" i="42"/>
  <c r="H35" i="42"/>
  <c r="F36" i="42"/>
  <c r="N36" i="42" s="1"/>
  <c r="B37" i="42"/>
  <c r="F8" i="42"/>
  <c r="F9" i="42"/>
  <c r="N13" i="42"/>
  <c r="O26" i="42"/>
  <c r="F28" i="42"/>
  <c r="N28" i="42" s="1"/>
  <c r="M27" i="42"/>
  <c r="H27" i="42"/>
  <c r="J30" i="42"/>
  <c r="F32" i="42"/>
  <c r="N32" i="42" s="1"/>
  <c r="M31" i="42"/>
  <c r="H31" i="42"/>
  <c r="F33" i="42"/>
  <c r="N33" i="42" s="1"/>
  <c r="M34" i="42"/>
  <c r="H34" i="42"/>
  <c r="F35" i="42"/>
  <c r="N35" i="42" s="1"/>
  <c r="M36" i="42"/>
  <c r="H36" i="42"/>
  <c r="F18" i="42"/>
  <c r="F27" i="42"/>
  <c r="N27" i="42" s="1"/>
  <c r="F29" i="42"/>
  <c r="N29" i="42" s="1"/>
  <c r="F31" i="42"/>
  <c r="N31" i="42" s="1"/>
  <c r="A20" i="43" l="1"/>
  <c r="B20" i="43" s="1"/>
  <c r="C19" i="43"/>
  <c r="D19" i="43" s="1"/>
  <c r="AK41" i="8"/>
  <c r="AJ44" i="8"/>
  <c r="M41" i="8"/>
  <c r="L44" i="8"/>
  <c r="Y41" i="8"/>
  <c r="X44" i="8"/>
  <c r="I12" i="11"/>
  <c r="I13" i="15" s="1"/>
  <c r="N15" i="42"/>
  <c r="N11" i="42"/>
  <c r="J32" i="42"/>
  <c r="O28" i="42"/>
  <c r="H19" i="42"/>
  <c r="J15" i="42"/>
  <c r="P15" i="42" s="1"/>
  <c r="Q15" i="42" s="1"/>
  <c r="S15" i="42" s="1"/>
  <c r="J13" i="42"/>
  <c r="L13" i="42" s="1"/>
  <c r="J11" i="42"/>
  <c r="L11" i="42" s="1"/>
  <c r="H16" i="42"/>
  <c r="N16" i="42"/>
  <c r="H14" i="42"/>
  <c r="N14" i="42"/>
  <c r="H12" i="42"/>
  <c r="N12" i="42"/>
  <c r="O34" i="42"/>
  <c r="J34" i="42"/>
  <c r="H37" i="42"/>
  <c r="J25" i="42"/>
  <c r="O25" i="42"/>
  <c r="N25" i="42"/>
  <c r="F37" i="42"/>
  <c r="O19" i="42"/>
  <c r="J19" i="42"/>
  <c r="O17" i="42"/>
  <c r="J17" i="42"/>
  <c r="J27" i="42"/>
  <c r="O27" i="42"/>
  <c r="P26" i="42"/>
  <c r="Q26" i="42" s="1"/>
  <c r="L26" i="42"/>
  <c r="L15" i="42"/>
  <c r="P13" i="42"/>
  <c r="Q13" i="42" s="1"/>
  <c r="P11" i="42"/>
  <c r="Q11" i="42" s="1"/>
  <c r="N9" i="42"/>
  <c r="H9" i="42"/>
  <c r="O35" i="42"/>
  <c r="J35" i="42"/>
  <c r="P32" i="42"/>
  <c r="L32" i="42"/>
  <c r="H18" i="42"/>
  <c r="N18" i="42"/>
  <c r="O36" i="42"/>
  <c r="J36" i="42"/>
  <c r="J31" i="42"/>
  <c r="O31" i="42"/>
  <c r="P30" i="42"/>
  <c r="Q30" i="42" s="1"/>
  <c r="L30" i="42"/>
  <c r="F20" i="42"/>
  <c r="N8" i="42"/>
  <c r="H8" i="42"/>
  <c r="O33" i="42"/>
  <c r="J33" i="42"/>
  <c r="J29" i="42"/>
  <c r="O29" i="42"/>
  <c r="P28" i="42"/>
  <c r="Q28" i="42" s="1"/>
  <c r="L28" i="42"/>
  <c r="O10" i="42"/>
  <c r="J10" i="42"/>
  <c r="A21" i="43" l="1"/>
  <c r="B21" i="43" s="1"/>
  <c r="C20" i="43"/>
  <c r="D20" i="43" s="1"/>
  <c r="Y44" i="8"/>
  <c r="Z41" i="8"/>
  <c r="M44" i="8"/>
  <c r="N41" i="8"/>
  <c r="AK44" i="8"/>
  <c r="AL41" i="8"/>
  <c r="J12" i="11"/>
  <c r="J13" i="15" s="1"/>
  <c r="O12" i="42"/>
  <c r="J12" i="42"/>
  <c r="O14" i="42"/>
  <c r="J14" i="42"/>
  <c r="O16" i="42"/>
  <c r="J16" i="42"/>
  <c r="P29" i="42"/>
  <c r="Q29" i="42" s="1"/>
  <c r="L29" i="42"/>
  <c r="J8" i="42"/>
  <c r="H20" i="42"/>
  <c r="O8" i="42"/>
  <c r="O18" i="42"/>
  <c r="J18" i="42"/>
  <c r="P25" i="42"/>
  <c r="Q25" i="42" s="1"/>
  <c r="J37" i="42"/>
  <c r="L25" i="42"/>
  <c r="L34" i="42"/>
  <c r="P34" i="42"/>
  <c r="Q34" i="42" s="1"/>
  <c r="S11" i="42"/>
  <c r="S13" i="42"/>
  <c r="L10" i="42"/>
  <c r="P10" i="42"/>
  <c r="Q10" i="42" s="1"/>
  <c r="L33" i="42"/>
  <c r="P33" i="42"/>
  <c r="Q33" i="42" s="1"/>
  <c r="P31" i="42"/>
  <c r="Q31" i="42" s="1"/>
  <c r="L31" i="42"/>
  <c r="L36" i="42"/>
  <c r="P36" i="42"/>
  <c r="Q36" i="42" s="1"/>
  <c r="L35" i="42"/>
  <c r="P35" i="42"/>
  <c r="Q35" i="42" s="1"/>
  <c r="O9" i="42"/>
  <c r="J9" i="42"/>
  <c r="P27" i="42"/>
  <c r="Q27" i="42" s="1"/>
  <c r="L27" i="42"/>
  <c r="L17" i="42"/>
  <c r="P17" i="42"/>
  <c r="Q17" i="42" s="1"/>
  <c r="S17" i="42" s="1"/>
  <c r="L19" i="42"/>
  <c r="P19" i="42"/>
  <c r="Q19" i="42" s="1"/>
  <c r="S19" i="42" s="1"/>
  <c r="A22" i="43" l="1"/>
  <c r="B22" i="43" s="1"/>
  <c r="C21" i="43"/>
  <c r="D21" i="43" s="1"/>
  <c r="AM41" i="8"/>
  <c r="AM44" i="8" s="1"/>
  <c r="AL44" i="8"/>
  <c r="O41" i="8"/>
  <c r="O44" i="8" s="1"/>
  <c r="N44" i="8"/>
  <c r="AA41" i="8"/>
  <c r="AA44" i="8" s="1"/>
  <c r="Z44" i="8"/>
  <c r="K12" i="11"/>
  <c r="K13" i="15" s="1"/>
  <c r="L16" i="42"/>
  <c r="P16" i="42"/>
  <c r="Q16" i="42" s="1"/>
  <c r="S16" i="42" s="1"/>
  <c r="L14" i="42"/>
  <c r="P14" i="42"/>
  <c r="Q14" i="42" s="1"/>
  <c r="S14" i="42" s="1"/>
  <c r="L12" i="42"/>
  <c r="P12" i="42"/>
  <c r="Q12" i="42" s="1"/>
  <c r="S12" i="42" s="1"/>
  <c r="S10" i="42"/>
  <c r="P9" i="42"/>
  <c r="L9" i="42"/>
  <c r="L37" i="42"/>
  <c r="O3" i="42" s="1"/>
  <c r="L18" i="42"/>
  <c r="P18" i="42"/>
  <c r="Q18" i="42" s="1"/>
  <c r="S18" i="42" s="1"/>
  <c r="J20" i="42"/>
  <c r="P8" i="42"/>
  <c r="Q8" i="42" s="1"/>
  <c r="S8" i="42" s="1"/>
  <c r="L8" i="42"/>
  <c r="Q9" i="42"/>
  <c r="S9" i="42" s="1"/>
  <c r="A23" i="43" l="1"/>
  <c r="B23" i="43" s="1"/>
  <c r="C22" i="43"/>
  <c r="D22" i="43" s="1"/>
  <c r="L12" i="11"/>
  <c r="L13" i="15" s="1"/>
  <c r="S1" i="42"/>
  <c r="L20" i="42"/>
  <c r="A24" i="43" l="1"/>
  <c r="B24" i="43" s="1"/>
  <c r="C23" i="43"/>
  <c r="D23" i="43" s="1"/>
  <c r="M12" i="11"/>
  <c r="M13" i="15" s="1"/>
  <c r="O1" i="42"/>
  <c r="O2" i="42"/>
  <c r="A25" i="43" l="1"/>
  <c r="B25" i="43" s="1"/>
  <c r="C24" i="43"/>
  <c r="D24" i="43" s="1"/>
  <c r="N12" i="11"/>
  <c r="N13" i="15" s="1"/>
  <c r="C48" i="41"/>
  <c r="D48" i="41" s="1"/>
  <c r="A26" i="43" l="1"/>
  <c r="B26" i="43" s="1"/>
  <c r="C25" i="43"/>
  <c r="D25" i="43" s="1"/>
  <c r="O12" i="11"/>
  <c r="O13" i="15" s="1"/>
  <c r="E48" i="41"/>
  <c r="F48" i="41" s="1"/>
  <c r="G48" i="41" s="1"/>
  <c r="H48" i="41" s="1"/>
  <c r="I48" i="41" s="1"/>
  <c r="J48" i="41" s="1"/>
  <c r="K48" i="41" s="1"/>
  <c r="L48" i="41" s="1"/>
  <c r="M48" i="41" s="1"/>
  <c r="N48" i="41" s="1"/>
  <c r="O48" i="41" s="1"/>
  <c r="P48" i="41" s="1"/>
  <c r="Q48" i="41" s="1"/>
  <c r="R48" i="41" s="1"/>
  <c r="S48" i="41" s="1"/>
  <c r="T48" i="41" s="1"/>
  <c r="U48" i="41" s="1"/>
  <c r="V48" i="41" s="1"/>
  <c r="W48" i="41" s="1"/>
  <c r="X48" i="41" s="1"/>
  <c r="Y48" i="41" s="1"/>
  <c r="Z48" i="41" s="1"/>
  <c r="AA48" i="41" s="1"/>
  <c r="AB48" i="41" s="1"/>
  <c r="AC48" i="41" s="1"/>
  <c r="AD48" i="41" s="1"/>
  <c r="AE48" i="41" s="1"/>
  <c r="AF48" i="41" s="1"/>
  <c r="AG48" i="41" s="1"/>
  <c r="AH48" i="41" s="1"/>
  <c r="AI48" i="41" s="1"/>
  <c r="AJ48" i="41" s="1"/>
  <c r="AK48" i="41" s="1"/>
  <c r="AL48" i="41" s="1"/>
  <c r="D11" i="11"/>
  <c r="A27" i="43" l="1"/>
  <c r="B27" i="43" s="1"/>
  <c r="C26" i="43"/>
  <c r="D26" i="43" s="1"/>
  <c r="P12" i="11"/>
  <c r="P13" i="15" s="1"/>
  <c r="E11" i="11"/>
  <c r="C62" i="41"/>
  <c r="D62" i="41" s="1"/>
  <c r="E62" i="41" s="1"/>
  <c r="F62" i="41" s="1"/>
  <c r="G62" i="41" s="1"/>
  <c r="H62" i="41" s="1"/>
  <c r="I62" i="41" s="1"/>
  <c r="J62" i="41" s="1"/>
  <c r="K62" i="41" s="1"/>
  <c r="L62" i="41" s="1"/>
  <c r="M62" i="41" s="1"/>
  <c r="N62" i="41" s="1"/>
  <c r="O62" i="41" s="1"/>
  <c r="P62" i="41" s="1"/>
  <c r="Q62" i="41" s="1"/>
  <c r="R62" i="41" s="1"/>
  <c r="S62" i="41" s="1"/>
  <c r="T62" i="41" s="1"/>
  <c r="U62" i="41" s="1"/>
  <c r="V62" i="41" s="1"/>
  <c r="W62" i="41" s="1"/>
  <c r="X62" i="41" s="1"/>
  <c r="Y62" i="41" s="1"/>
  <c r="Z62" i="41" s="1"/>
  <c r="AA62" i="41" s="1"/>
  <c r="AB62" i="41" s="1"/>
  <c r="AC62" i="41" s="1"/>
  <c r="AD62" i="41" s="1"/>
  <c r="AE62" i="41" s="1"/>
  <c r="AF62" i="41" s="1"/>
  <c r="AG62" i="41" s="1"/>
  <c r="AH62" i="41" s="1"/>
  <c r="AI62" i="41" s="1"/>
  <c r="AJ62" i="41" s="1"/>
  <c r="AK62" i="41" s="1"/>
  <c r="AL62" i="41" s="1"/>
  <c r="C61" i="41"/>
  <c r="D61" i="41" s="1"/>
  <c r="E61" i="41" s="1"/>
  <c r="F61" i="41" s="1"/>
  <c r="G61" i="41" s="1"/>
  <c r="H61" i="41" s="1"/>
  <c r="I61" i="41" s="1"/>
  <c r="J61" i="41" s="1"/>
  <c r="K61" i="41" s="1"/>
  <c r="L61" i="41" s="1"/>
  <c r="M61" i="41" s="1"/>
  <c r="N61" i="41" s="1"/>
  <c r="O61" i="41" s="1"/>
  <c r="P61" i="41" s="1"/>
  <c r="Q61" i="41" s="1"/>
  <c r="R61" i="41" s="1"/>
  <c r="S61" i="41" s="1"/>
  <c r="T61" i="41" s="1"/>
  <c r="U61" i="41" s="1"/>
  <c r="V61" i="41" s="1"/>
  <c r="W61" i="41" s="1"/>
  <c r="X61" i="41" s="1"/>
  <c r="Y61" i="41" s="1"/>
  <c r="Z61" i="41" s="1"/>
  <c r="AA61" i="41" s="1"/>
  <c r="AB61" i="41" s="1"/>
  <c r="AC61" i="41" s="1"/>
  <c r="AD61" i="41" s="1"/>
  <c r="AE61" i="41" s="1"/>
  <c r="AF61" i="41" s="1"/>
  <c r="AG61" i="41" s="1"/>
  <c r="AH61" i="41" s="1"/>
  <c r="AI61" i="41" s="1"/>
  <c r="AJ61" i="41" s="1"/>
  <c r="AK61" i="41" s="1"/>
  <c r="AL61" i="41" s="1"/>
  <c r="C60" i="41"/>
  <c r="D60" i="41" s="1"/>
  <c r="E60" i="41" s="1"/>
  <c r="F60" i="41" s="1"/>
  <c r="G60" i="41" s="1"/>
  <c r="H60" i="41" s="1"/>
  <c r="I60" i="41" s="1"/>
  <c r="J60" i="41" s="1"/>
  <c r="K60" i="41" s="1"/>
  <c r="L60" i="41" s="1"/>
  <c r="M60" i="41" s="1"/>
  <c r="N60" i="41" s="1"/>
  <c r="O60" i="41" s="1"/>
  <c r="P60" i="41" s="1"/>
  <c r="Q60" i="41" s="1"/>
  <c r="R60" i="41" s="1"/>
  <c r="S60" i="41" s="1"/>
  <c r="T60" i="41" s="1"/>
  <c r="U60" i="41" s="1"/>
  <c r="V60" i="41" s="1"/>
  <c r="W60" i="41" s="1"/>
  <c r="X60" i="41" s="1"/>
  <c r="Y60" i="41" s="1"/>
  <c r="Z60" i="41" s="1"/>
  <c r="AA60" i="41" s="1"/>
  <c r="AB60" i="41" s="1"/>
  <c r="AC60" i="41" s="1"/>
  <c r="AD60" i="41" s="1"/>
  <c r="AE60" i="41" s="1"/>
  <c r="AF60" i="41" s="1"/>
  <c r="AG60" i="41" s="1"/>
  <c r="AH60" i="41" s="1"/>
  <c r="AI60" i="41" s="1"/>
  <c r="AJ60" i="41" s="1"/>
  <c r="AK60" i="41" s="1"/>
  <c r="AL60" i="41" s="1"/>
  <c r="C59" i="41"/>
  <c r="D59" i="41" s="1"/>
  <c r="E59" i="41" s="1"/>
  <c r="F59" i="41" s="1"/>
  <c r="G59" i="41" s="1"/>
  <c r="H59" i="41" s="1"/>
  <c r="I59" i="41" s="1"/>
  <c r="J59" i="41" s="1"/>
  <c r="K59" i="41" s="1"/>
  <c r="L59" i="41" s="1"/>
  <c r="M59" i="41" s="1"/>
  <c r="N59" i="41" s="1"/>
  <c r="O59" i="41" s="1"/>
  <c r="P59" i="41" s="1"/>
  <c r="Q59" i="41" s="1"/>
  <c r="R59" i="41" s="1"/>
  <c r="S59" i="41" s="1"/>
  <c r="T59" i="41" s="1"/>
  <c r="U59" i="41" s="1"/>
  <c r="V59" i="41" s="1"/>
  <c r="W59" i="41" s="1"/>
  <c r="X59" i="41" s="1"/>
  <c r="Y59" i="41" s="1"/>
  <c r="Z59" i="41" s="1"/>
  <c r="AA59" i="41" s="1"/>
  <c r="AB59" i="41" s="1"/>
  <c r="AC59" i="41" s="1"/>
  <c r="AD59" i="41" s="1"/>
  <c r="AE59" i="41" s="1"/>
  <c r="AF59" i="41" s="1"/>
  <c r="AG59" i="41" s="1"/>
  <c r="AH59" i="41" s="1"/>
  <c r="AI59" i="41" s="1"/>
  <c r="AJ59" i="41" s="1"/>
  <c r="AK59" i="41" s="1"/>
  <c r="AL59" i="41" s="1"/>
  <c r="C58" i="41"/>
  <c r="D58" i="41" s="1"/>
  <c r="E58" i="41" s="1"/>
  <c r="F58" i="41" s="1"/>
  <c r="G58" i="41" s="1"/>
  <c r="H58" i="41" s="1"/>
  <c r="I58" i="41" s="1"/>
  <c r="J58" i="41" s="1"/>
  <c r="K58" i="41" s="1"/>
  <c r="L58" i="41" s="1"/>
  <c r="M58" i="41" s="1"/>
  <c r="N58" i="41" s="1"/>
  <c r="O58" i="41" s="1"/>
  <c r="P58" i="41" s="1"/>
  <c r="Q58" i="41" s="1"/>
  <c r="R58" i="41" s="1"/>
  <c r="S58" i="41" s="1"/>
  <c r="T58" i="41" s="1"/>
  <c r="U58" i="41" s="1"/>
  <c r="V58" i="41" s="1"/>
  <c r="W58" i="41" s="1"/>
  <c r="X58" i="41" s="1"/>
  <c r="Y58" i="41" s="1"/>
  <c r="Z58" i="41" s="1"/>
  <c r="AA58" i="41" s="1"/>
  <c r="AB58" i="41" s="1"/>
  <c r="AC58" i="41" s="1"/>
  <c r="AD58" i="41" s="1"/>
  <c r="AE58" i="41" s="1"/>
  <c r="AF58" i="41" s="1"/>
  <c r="AG58" i="41" s="1"/>
  <c r="AH58" i="41" s="1"/>
  <c r="AI58" i="41" s="1"/>
  <c r="AJ58" i="41" s="1"/>
  <c r="AK58" i="41" s="1"/>
  <c r="AL58" i="41" s="1"/>
  <c r="C57" i="41"/>
  <c r="D57" i="41" s="1"/>
  <c r="E57" i="41" s="1"/>
  <c r="F57" i="41" s="1"/>
  <c r="G57" i="41" s="1"/>
  <c r="H57" i="41" s="1"/>
  <c r="I57" i="41" s="1"/>
  <c r="J57" i="41" s="1"/>
  <c r="K57" i="41" s="1"/>
  <c r="L57" i="41" s="1"/>
  <c r="M57" i="41" s="1"/>
  <c r="N57" i="41" s="1"/>
  <c r="O57" i="41" s="1"/>
  <c r="P57" i="41" s="1"/>
  <c r="Q57" i="41" s="1"/>
  <c r="R57" i="41" s="1"/>
  <c r="S57" i="41" s="1"/>
  <c r="T57" i="41" s="1"/>
  <c r="U57" i="41" s="1"/>
  <c r="V57" i="41" s="1"/>
  <c r="W57" i="41" s="1"/>
  <c r="X57" i="41" s="1"/>
  <c r="Y57" i="41" s="1"/>
  <c r="Z57" i="41" s="1"/>
  <c r="AA57" i="41" s="1"/>
  <c r="AB57" i="41" s="1"/>
  <c r="AC57" i="41" s="1"/>
  <c r="AD57" i="41" s="1"/>
  <c r="AE57" i="41" s="1"/>
  <c r="AF57" i="41" s="1"/>
  <c r="AG57" i="41" s="1"/>
  <c r="AH57" i="41" s="1"/>
  <c r="AI57" i="41" s="1"/>
  <c r="AJ57" i="41" s="1"/>
  <c r="AK57" i="41" s="1"/>
  <c r="AL57" i="41" s="1"/>
  <c r="C56" i="41"/>
  <c r="D56" i="41" s="1"/>
  <c r="E56" i="41" s="1"/>
  <c r="F56" i="41" s="1"/>
  <c r="G56" i="41" s="1"/>
  <c r="H56" i="41" s="1"/>
  <c r="I56" i="41" s="1"/>
  <c r="J56" i="41" s="1"/>
  <c r="K56" i="41" s="1"/>
  <c r="L56" i="41" s="1"/>
  <c r="M56" i="41" s="1"/>
  <c r="N56" i="41" s="1"/>
  <c r="O56" i="41" s="1"/>
  <c r="P56" i="41" s="1"/>
  <c r="Q56" i="41" s="1"/>
  <c r="R56" i="41" s="1"/>
  <c r="S56" i="41" s="1"/>
  <c r="T56" i="41" s="1"/>
  <c r="U56" i="41" s="1"/>
  <c r="V56" i="41" s="1"/>
  <c r="W56" i="41" s="1"/>
  <c r="X56" i="41" s="1"/>
  <c r="Y56" i="41" s="1"/>
  <c r="Z56" i="41" s="1"/>
  <c r="AA56" i="41" s="1"/>
  <c r="AB56" i="41" s="1"/>
  <c r="AC56" i="41" s="1"/>
  <c r="AD56" i="41" s="1"/>
  <c r="AE56" i="41" s="1"/>
  <c r="AF56" i="41" s="1"/>
  <c r="AG56" i="41" s="1"/>
  <c r="AH56" i="41" s="1"/>
  <c r="AI56" i="41" s="1"/>
  <c r="AJ56" i="41" s="1"/>
  <c r="AK56" i="41" s="1"/>
  <c r="AL56" i="41" s="1"/>
  <c r="C55" i="41"/>
  <c r="D55" i="41" s="1"/>
  <c r="E55" i="41" s="1"/>
  <c r="F55" i="41" s="1"/>
  <c r="G55" i="41" s="1"/>
  <c r="H55" i="41" s="1"/>
  <c r="I55" i="41" s="1"/>
  <c r="J55" i="41" s="1"/>
  <c r="K55" i="41" s="1"/>
  <c r="L55" i="41" s="1"/>
  <c r="M55" i="41" s="1"/>
  <c r="N55" i="41" s="1"/>
  <c r="O55" i="41" s="1"/>
  <c r="P55" i="41" s="1"/>
  <c r="Q55" i="41" s="1"/>
  <c r="R55" i="41" s="1"/>
  <c r="S55" i="41" s="1"/>
  <c r="T55" i="41" s="1"/>
  <c r="U55" i="41" s="1"/>
  <c r="V55" i="41" s="1"/>
  <c r="W55" i="41" s="1"/>
  <c r="X55" i="41" s="1"/>
  <c r="Y55" i="41" s="1"/>
  <c r="Z55" i="41" s="1"/>
  <c r="AA55" i="41" s="1"/>
  <c r="AB55" i="41" s="1"/>
  <c r="AC55" i="41" s="1"/>
  <c r="AD55" i="41" s="1"/>
  <c r="AE55" i="41" s="1"/>
  <c r="AF55" i="41" s="1"/>
  <c r="AG55" i="41" s="1"/>
  <c r="AH55" i="41" s="1"/>
  <c r="AI55" i="41" s="1"/>
  <c r="AJ55" i="41" s="1"/>
  <c r="AK55" i="41" s="1"/>
  <c r="AL55" i="41" s="1"/>
  <c r="C54" i="41"/>
  <c r="D54" i="41" s="1"/>
  <c r="E54" i="41" s="1"/>
  <c r="F54" i="41" s="1"/>
  <c r="G54" i="41" s="1"/>
  <c r="H54" i="41" s="1"/>
  <c r="I54" i="41" s="1"/>
  <c r="J54" i="41" s="1"/>
  <c r="K54" i="41" s="1"/>
  <c r="L54" i="41" s="1"/>
  <c r="M54" i="41" s="1"/>
  <c r="N54" i="41" s="1"/>
  <c r="O54" i="41" s="1"/>
  <c r="P54" i="41" s="1"/>
  <c r="Q54" i="41" s="1"/>
  <c r="R54" i="41" s="1"/>
  <c r="S54" i="41" s="1"/>
  <c r="T54" i="41" s="1"/>
  <c r="U54" i="41" s="1"/>
  <c r="V54" i="41" s="1"/>
  <c r="W54" i="41" s="1"/>
  <c r="X54" i="41" s="1"/>
  <c r="Y54" i="41" s="1"/>
  <c r="Z54" i="41" s="1"/>
  <c r="AA54" i="41" s="1"/>
  <c r="AB54" i="41" s="1"/>
  <c r="AC54" i="41" s="1"/>
  <c r="AD54" i="41" s="1"/>
  <c r="AE54" i="41" s="1"/>
  <c r="AF54" i="41" s="1"/>
  <c r="AG54" i="41" s="1"/>
  <c r="AH54" i="41" s="1"/>
  <c r="AI54" i="41" s="1"/>
  <c r="AJ54" i="41" s="1"/>
  <c r="AK54" i="41" s="1"/>
  <c r="AL54" i="41" s="1"/>
  <c r="C53" i="41"/>
  <c r="D53" i="41" s="1"/>
  <c r="E53" i="41" s="1"/>
  <c r="F53" i="41" s="1"/>
  <c r="G53" i="41" s="1"/>
  <c r="H53" i="41" s="1"/>
  <c r="I53" i="41" s="1"/>
  <c r="J53" i="41" s="1"/>
  <c r="K53" i="41" s="1"/>
  <c r="L53" i="41" s="1"/>
  <c r="M53" i="41" s="1"/>
  <c r="N53" i="41" s="1"/>
  <c r="O53" i="41" s="1"/>
  <c r="P53" i="41" s="1"/>
  <c r="Q53" i="41" s="1"/>
  <c r="R53" i="41" s="1"/>
  <c r="S53" i="41" s="1"/>
  <c r="T53" i="41" s="1"/>
  <c r="U53" i="41" s="1"/>
  <c r="V53" i="41" s="1"/>
  <c r="W53" i="41" s="1"/>
  <c r="X53" i="41" s="1"/>
  <c r="Y53" i="41" s="1"/>
  <c r="Z53" i="41" s="1"/>
  <c r="AA53" i="41" s="1"/>
  <c r="AB53" i="41" s="1"/>
  <c r="AC53" i="41" s="1"/>
  <c r="AD53" i="41" s="1"/>
  <c r="AE53" i="41" s="1"/>
  <c r="AF53" i="41" s="1"/>
  <c r="AG53" i="41" s="1"/>
  <c r="AH53" i="41" s="1"/>
  <c r="AI53" i="41" s="1"/>
  <c r="AJ53" i="41" s="1"/>
  <c r="AK53" i="41" s="1"/>
  <c r="AL53" i="41" s="1"/>
  <c r="C52" i="41"/>
  <c r="D52" i="41" s="1"/>
  <c r="E52" i="41" s="1"/>
  <c r="F52" i="41" s="1"/>
  <c r="G52" i="41" s="1"/>
  <c r="H52" i="41" s="1"/>
  <c r="I52" i="41" s="1"/>
  <c r="J52" i="41" s="1"/>
  <c r="K52" i="41" s="1"/>
  <c r="L52" i="41" s="1"/>
  <c r="M52" i="41" s="1"/>
  <c r="N52" i="41" s="1"/>
  <c r="O52" i="41" s="1"/>
  <c r="P52" i="41" s="1"/>
  <c r="Q52" i="41" s="1"/>
  <c r="R52" i="41" s="1"/>
  <c r="S52" i="41" s="1"/>
  <c r="T52" i="41" s="1"/>
  <c r="U52" i="41" s="1"/>
  <c r="V52" i="41" s="1"/>
  <c r="W52" i="41" s="1"/>
  <c r="X52" i="41" s="1"/>
  <c r="Y52" i="41" s="1"/>
  <c r="Z52" i="41" s="1"/>
  <c r="AA52" i="41" s="1"/>
  <c r="AB52" i="41" s="1"/>
  <c r="AC52" i="41" s="1"/>
  <c r="AD52" i="41" s="1"/>
  <c r="AE52" i="41" s="1"/>
  <c r="AF52" i="41" s="1"/>
  <c r="AG52" i="41" s="1"/>
  <c r="AH52" i="41" s="1"/>
  <c r="AI52" i="41" s="1"/>
  <c r="AJ52" i="41" s="1"/>
  <c r="AK52" i="41" s="1"/>
  <c r="AL52" i="41" s="1"/>
  <c r="C51" i="41"/>
  <c r="D51" i="41" s="1"/>
  <c r="E51" i="41" s="1"/>
  <c r="F51" i="41" s="1"/>
  <c r="G51" i="41" s="1"/>
  <c r="H51" i="41" s="1"/>
  <c r="I51" i="41" s="1"/>
  <c r="J51" i="41" s="1"/>
  <c r="K51" i="41" s="1"/>
  <c r="L51" i="41" s="1"/>
  <c r="M51" i="41" s="1"/>
  <c r="N51" i="41" s="1"/>
  <c r="O51" i="41" s="1"/>
  <c r="P51" i="41" s="1"/>
  <c r="Q51" i="41" s="1"/>
  <c r="R51" i="41" s="1"/>
  <c r="S51" i="41" s="1"/>
  <c r="T51" i="41" s="1"/>
  <c r="U51" i="41" s="1"/>
  <c r="V51" i="41" s="1"/>
  <c r="W51" i="41" s="1"/>
  <c r="X51" i="41" s="1"/>
  <c r="Y51" i="41" s="1"/>
  <c r="Z51" i="41" s="1"/>
  <c r="AA51" i="41" s="1"/>
  <c r="AB51" i="41" s="1"/>
  <c r="AC51" i="41" s="1"/>
  <c r="AD51" i="41" s="1"/>
  <c r="AE51" i="41" s="1"/>
  <c r="AF51" i="41" s="1"/>
  <c r="AG51" i="41" s="1"/>
  <c r="AH51" i="41" s="1"/>
  <c r="AI51" i="41" s="1"/>
  <c r="AJ51" i="41" s="1"/>
  <c r="AK51" i="41" s="1"/>
  <c r="AL51" i="41" s="1"/>
  <c r="C50" i="41"/>
  <c r="D50" i="41" s="1"/>
  <c r="E50" i="41" s="1"/>
  <c r="F50" i="41" s="1"/>
  <c r="G50" i="41" s="1"/>
  <c r="H50" i="41" s="1"/>
  <c r="I50" i="41" s="1"/>
  <c r="J50" i="41" s="1"/>
  <c r="K50" i="41" s="1"/>
  <c r="L50" i="41" s="1"/>
  <c r="M50" i="41" s="1"/>
  <c r="N50" i="41" s="1"/>
  <c r="O50" i="41" s="1"/>
  <c r="P50" i="41" s="1"/>
  <c r="Q50" i="41" s="1"/>
  <c r="R50" i="41" s="1"/>
  <c r="S50" i="41" s="1"/>
  <c r="T50" i="41" s="1"/>
  <c r="U50" i="41" s="1"/>
  <c r="V50" i="41" s="1"/>
  <c r="W50" i="41" s="1"/>
  <c r="X50" i="41" s="1"/>
  <c r="Y50" i="41" s="1"/>
  <c r="Z50" i="41" s="1"/>
  <c r="AA50" i="41" s="1"/>
  <c r="AB50" i="41" s="1"/>
  <c r="AC50" i="41" s="1"/>
  <c r="AD50" i="41" s="1"/>
  <c r="AE50" i="41" s="1"/>
  <c r="AF50" i="41" s="1"/>
  <c r="AG50" i="41" s="1"/>
  <c r="AH50" i="41" s="1"/>
  <c r="AI50" i="41" s="1"/>
  <c r="AJ50" i="41" s="1"/>
  <c r="AK50" i="41" s="1"/>
  <c r="AL50" i="41" s="1"/>
  <c r="C49" i="41"/>
  <c r="D49" i="41" s="1"/>
  <c r="E49" i="41" s="1"/>
  <c r="F49" i="41" s="1"/>
  <c r="G49" i="41" s="1"/>
  <c r="H49" i="41" s="1"/>
  <c r="I49" i="41" s="1"/>
  <c r="J49" i="41" s="1"/>
  <c r="K49" i="41" s="1"/>
  <c r="L49" i="41" s="1"/>
  <c r="M49" i="41" s="1"/>
  <c r="N49" i="41" s="1"/>
  <c r="O49" i="41" s="1"/>
  <c r="P49" i="41" s="1"/>
  <c r="Q49" i="41" s="1"/>
  <c r="R49" i="41" s="1"/>
  <c r="S49" i="41" s="1"/>
  <c r="T49" i="41" s="1"/>
  <c r="U49" i="41" s="1"/>
  <c r="V49" i="41" s="1"/>
  <c r="W49" i="41" s="1"/>
  <c r="X49" i="41" s="1"/>
  <c r="Y49" i="41" s="1"/>
  <c r="Z49" i="41" s="1"/>
  <c r="AA49" i="41" s="1"/>
  <c r="AB49" i="41" s="1"/>
  <c r="AC49" i="41" s="1"/>
  <c r="AD49" i="41" s="1"/>
  <c r="AE49" i="41" s="1"/>
  <c r="AF49" i="41" s="1"/>
  <c r="AG49" i="41" s="1"/>
  <c r="AH49" i="41" s="1"/>
  <c r="AI49" i="41" s="1"/>
  <c r="AJ49" i="41" s="1"/>
  <c r="AK49" i="41" s="1"/>
  <c r="AL49" i="41" s="1"/>
  <c r="B49" i="41"/>
  <c r="B50" i="41"/>
  <c r="B51" i="41"/>
  <c r="B52" i="41"/>
  <c r="B53" i="41"/>
  <c r="B54" i="41"/>
  <c r="B55" i="41"/>
  <c r="B56" i="41"/>
  <c r="B57" i="41"/>
  <c r="B58" i="41"/>
  <c r="B59" i="41"/>
  <c r="B60" i="41"/>
  <c r="B61" i="41"/>
  <c r="B62" i="41"/>
  <c r="B48" i="41"/>
  <c r="AL45" i="41"/>
  <c r="AK45" i="41"/>
  <c r="AJ45" i="41"/>
  <c r="AI45" i="41"/>
  <c r="AH45" i="41"/>
  <c r="AG45" i="41"/>
  <c r="AF45" i="41"/>
  <c r="AE45" i="41"/>
  <c r="AD45" i="41"/>
  <c r="AC45" i="41"/>
  <c r="AB45" i="41"/>
  <c r="AA45" i="41"/>
  <c r="Z45" i="41"/>
  <c r="Y45" i="41"/>
  <c r="X45" i="41"/>
  <c r="W45" i="41"/>
  <c r="V45" i="41"/>
  <c r="U45" i="41"/>
  <c r="T45" i="41"/>
  <c r="S45" i="41"/>
  <c r="R45" i="41"/>
  <c r="Q45" i="41"/>
  <c r="P45" i="41"/>
  <c r="O45" i="41"/>
  <c r="N45" i="41"/>
  <c r="M45" i="41"/>
  <c r="L45" i="41"/>
  <c r="K45" i="41"/>
  <c r="J45" i="41"/>
  <c r="I45" i="41"/>
  <c r="H45" i="41"/>
  <c r="G45" i="41"/>
  <c r="F45" i="41"/>
  <c r="E45" i="41"/>
  <c r="D45" i="41"/>
  <c r="C45" i="41"/>
  <c r="B44" i="41"/>
  <c r="B43" i="41"/>
  <c r="B42" i="41"/>
  <c r="B41" i="41"/>
  <c r="B40" i="41"/>
  <c r="B39" i="41"/>
  <c r="B38" i="41"/>
  <c r="B37" i="41"/>
  <c r="B36" i="41"/>
  <c r="B35" i="41"/>
  <c r="B34" i="41"/>
  <c r="B33" i="41"/>
  <c r="B32" i="41"/>
  <c r="B31" i="41"/>
  <c r="B30" i="41"/>
  <c r="AL25" i="41"/>
  <c r="AK25" i="41"/>
  <c r="AJ25" i="41"/>
  <c r="AI25" i="41"/>
  <c r="AH25" i="41"/>
  <c r="AG25" i="41"/>
  <c r="AF25" i="41"/>
  <c r="AE25" i="41"/>
  <c r="AD25" i="41"/>
  <c r="AC25" i="41"/>
  <c r="AB25" i="41"/>
  <c r="AA25" i="41"/>
  <c r="Z25" i="41"/>
  <c r="Y25" i="41"/>
  <c r="X25" i="41"/>
  <c r="W25" i="41"/>
  <c r="V25" i="41"/>
  <c r="U25" i="41"/>
  <c r="T25" i="41"/>
  <c r="S25" i="41"/>
  <c r="R25" i="41"/>
  <c r="Q25" i="41"/>
  <c r="P25" i="41"/>
  <c r="O25" i="41"/>
  <c r="N25" i="41"/>
  <c r="M25" i="41"/>
  <c r="L25" i="41"/>
  <c r="K25" i="41"/>
  <c r="J25" i="41"/>
  <c r="I25" i="41"/>
  <c r="H25" i="41"/>
  <c r="G25" i="41"/>
  <c r="F25" i="41"/>
  <c r="E25" i="41"/>
  <c r="D25" i="41"/>
  <c r="C25" i="41"/>
  <c r="B24" i="41"/>
  <c r="B23" i="41"/>
  <c r="B22" i="41"/>
  <c r="B21" i="41"/>
  <c r="B20" i="41"/>
  <c r="B19" i="41"/>
  <c r="B18" i="41"/>
  <c r="B17" i="41"/>
  <c r="B16" i="41"/>
  <c r="B15" i="41"/>
  <c r="B14" i="41"/>
  <c r="B13" i="41"/>
  <c r="B12" i="41"/>
  <c r="B11" i="41"/>
  <c r="B10" i="41"/>
  <c r="C4" i="41"/>
  <c r="D4" i="41" s="1"/>
  <c r="E4" i="41" s="1"/>
  <c r="F4" i="41" s="1"/>
  <c r="G4" i="41" s="1"/>
  <c r="H4" i="41" s="1"/>
  <c r="I4" i="41" s="1"/>
  <c r="J4" i="41" s="1"/>
  <c r="K4" i="41" s="1"/>
  <c r="L4" i="41" s="1"/>
  <c r="M4" i="41" s="1"/>
  <c r="N4" i="41" s="1"/>
  <c r="O4" i="41" s="1"/>
  <c r="P4" i="41" s="1"/>
  <c r="Q4" i="41" s="1"/>
  <c r="R4" i="41" s="1"/>
  <c r="S4" i="41" s="1"/>
  <c r="T4" i="41" s="1"/>
  <c r="U4" i="41" s="1"/>
  <c r="V4" i="41" s="1"/>
  <c r="W4" i="41" s="1"/>
  <c r="X4" i="41" s="1"/>
  <c r="Y4" i="41" s="1"/>
  <c r="Z4" i="41" s="1"/>
  <c r="AA4" i="41" s="1"/>
  <c r="AB4" i="41" s="1"/>
  <c r="AC4" i="41" s="1"/>
  <c r="AD4" i="41" s="1"/>
  <c r="AE4" i="41" s="1"/>
  <c r="AF4" i="41" s="1"/>
  <c r="AG4" i="41" s="1"/>
  <c r="AH4" i="41" s="1"/>
  <c r="AI4" i="41" s="1"/>
  <c r="AJ4" i="41" s="1"/>
  <c r="AK4" i="41" s="1"/>
  <c r="AL4" i="41" s="1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28" i="43" l="1"/>
  <c r="B28" i="43" s="1"/>
  <c r="C27" i="43"/>
  <c r="D27" i="43" s="1"/>
  <c r="F11" i="11"/>
  <c r="Q12" i="11"/>
  <c r="Q13" i="15" s="1"/>
  <c r="E63" i="41"/>
  <c r="I63" i="41"/>
  <c r="C63" i="41"/>
  <c r="C69" i="41" s="1"/>
  <c r="C70" i="41" s="1"/>
  <c r="AL63" i="41"/>
  <c r="G63" i="41"/>
  <c r="K63" i="41"/>
  <c r="O63" i="41"/>
  <c r="S63" i="41"/>
  <c r="W63" i="41"/>
  <c r="AA63" i="41"/>
  <c r="AE63" i="41"/>
  <c r="AI63" i="41"/>
  <c r="D63" i="41"/>
  <c r="H63" i="41"/>
  <c r="L63" i="41"/>
  <c r="P63" i="41"/>
  <c r="T63" i="41"/>
  <c r="X63" i="41"/>
  <c r="AB63" i="41"/>
  <c r="AF63" i="41"/>
  <c r="AJ63" i="41"/>
  <c r="M63" i="41"/>
  <c r="Q63" i="41"/>
  <c r="U63" i="41"/>
  <c r="Y63" i="41"/>
  <c r="AC63" i="41"/>
  <c r="AG63" i="41"/>
  <c r="AK63" i="41"/>
  <c r="F63" i="41"/>
  <c r="J63" i="41"/>
  <c r="N63" i="41"/>
  <c r="R63" i="41"/>
  <c r="V63" i="41"/>
  <c r="Z63" i="41"/>
  <c r="AD63" i="41"/>
  <c r="AH63" i="41"/>
  <c r="B5" i="8"/>
  <c r="C27" i="41"/>
  <c r="R5" i="7"/>
  <c r="A29" i="43" l="1"/>
  <c r="B29" i="43" s="1"/>
  <c r="C28" i="43"/>
  <c r="D28" i="43" s="1"/>
  <c r="R12" i="11"/>
  <c r="R13" i="15" s="1"/>
  <c r="G11" i="11"/>
  <c r="E69" i="41"/>
  <c r="E70" i="41" s="1"/>
  <c r="F69" i="41"/>
  <c r="F70" i="41" s="1"/>
  <c r="D69" i="41"/>
  <c r="D70" i="41" s="1"/>
  <c r="AH69" i="41"/>
  <c r="AH70" i="41" s="1"/>
  <c r="Z69" i="41"/>
  <c r="Z70" i="41" s="1"/>
  <c r="R69" i="41"/>
  <c r="R70" i="41" s="1"/>
  <c r="J69" i="41"/>
  <c r="J70" i="41" s="1"/>
  <c r="AK69" i="41"/>
  <c r="AK70" i="41" s="1"/>
  <c r="AC69" i="41"/>
  <c r="AC70" i="41" s="1"/>
  <c r="U69" i="41"/>
  <c r="U70" i="41" s="1"/>
  <c r="M69" i="41"/>
  <c r="M70" i="41" s="1"/>
  <c r="AF69" i="41"/>
  <c r="AF70" i="41" s="1"/>
  <c r="X69" i="41"/>
  <c r="X70" i="41" s="1"/>
  <c r="P69" i="41"/>
  <c r="P70" i="41" s="1"/>
  <c r="H69" i="41"/>
  <c r="H70" i="41" s="1"/>
  <c r="AI69" i="41"/>
  <c r="AI70" i="41" s="1"/>
  <c r="AA69" i="41"/>
  <c r="AA70" i="41" s="1"/>
  <c r="S69" i="41"/>
  <c r="S70" i="41" s="1"/>
  <c r="K69" i="41"/>
  <c r="K70" i="41" s="1"/>
  <c r="AL69" i="41"/>
  <c r="AL70" i="41" s="1"/>
  <c r="AD69" i="41"/>
  <c r="AD70" i="41" s="1"/>
  <c r="V69" i="41"/>
  <c r="V70" i="41" s="1"/>
  <c r="N69" i="41"/>
  <c r="N70" i="41" s="1"/>
  <c r="AG69" i="41"/>
  <c r="AG70" i="41" s="1"/>
  <c r="Y69" i="41"/>
  <c r="Y70" i="41" s="1"/>
  <c r="Q69" i="41"/>
  <c r="Q70" i="41" s="1"/>
  <c r="AJ69" i="41"/>
  <c r="AJ70" i="41" s="1"/>
  <c r="AB69" i="41"/>
  <c r="AB70" i="41" s="1"/>
  <c r="T69" i="41"/>
  <c r="T70" i="41" s="1"/>
  <c r="L69" i="41"/>
  <c r="L70" i="41" s="1"/>
  <c r="AE69" i="41"/>
  <c r="AE70" i="41" s="1"/>
  <c r="W69" i="41"/>
  <c r="W70" i="41" s="1"/>
  <c r="O69" i="41"/>
  <c r="O70" i="41" s="1"/>
  <c r="G69" i="41"/>
  <c r="G70" i="41" s="1"/>
  <c r="I69" i="41"/>
  <c r="I70" i="41" s="1"/>
  <c r="AE5" i="7"/>
  <c r="D3" i="8"/>
  <c r="E3" i="8" s="1"/>
  <c r="F3" i="8" s="1"/>
  <c r="G3" i="8" s="1"/>
  <c r="H3" i="8" s="1"/>
  <c r="I3" i="8" s="1"/>
  <c r="J3" i="8" s="1"/>
  <c r="K3" i="8" s="1"/>
  <c r="L3" i="8" s="1"/>
  <c r="M3" i="8" s="1"/>
  <c r="N3" i="8" s="1"/>
  <c r="O3" i="8" s="1"/>
  <c r="P3" i="8" s="1"/>
  <c r="Q3" i="8" s="1"/>
  <c r="R3" i="8" s="1"/>
  <c r="S3" i="8" s="1"/>
  <c r="T3" i="8" s="1"/>
  <c r="U3" i="8" s="1"/>
  <c r="V3" i="8" s="1"/>
  <c r="W3" i="8" s="1"/>
  <c r="X3" i="8" s="1"/>
  <c r="Y3" i="8" s="1"/>
  <c r="Z3" i="8" s="1"/>
  <c r="AA3" i="8" s="1"/>
  <c r="AB3" i="8" s="1"/>
  <c r="AC3" i="8" s="1"/>
  <c r="AD3" i="8" s="1"/>
  <c r="AE3" i="8" s="1"/>
  <c r="AF3" i="8" s="1"/>
  <c r="AG3" i="8" s="1"/>
  <c r="AH3" i="8" s="1"/>
  <c r="AI3" i="8" s="1"/>
  <c r="AJ3" i="8" s="1"/>
  <c r="AK3" i="8" s="1"/>
  <c r="AL3" i="8" s="1"/>
  <c r="AM3" i="8" s="1"/>
  <c r="A30" i="43" l="1"/>
  <c r="B30" i="43" s="1"/>
  <c r="C29" i="43"/>
  <c r="D29" i="43" s="1"/>
  <c r="H11" i="11"/>
  <c r="S12" i="11"/>
  <c r="S13" i="15" s="1"/>
  <c r="D27" i="41"/>
  <c r="A31" i="43" l="1"/>
  <c r="B31" i="43" s="1"/>
  <c r="C30" i="43"/>
  <c r="D30" i="43" s="1"/>
  <c r="T12" i="11"/>
  <c r="T13" i="15" s="1"/>
  <c r="I11" i="11"/>
  <c r="E27" i="41"/>
  <c r="A32" i="43" l="1"/>
  <c r="B32" i="43" s="1"/>
  <c r="C31" i="43"/>
  <c r="D31" i="43" s="1"/>
  <c r="J11" i="11"/>
  <c r="U12" i="11"/>
  <c r="U13" i="15" s="1"/>
  <c r="F27" i="41"/>
  <c r="AQ37" i="2"/>
  <c r="AR37" i="2" s="1"/>
  <c r="AQ36" i="2"/>
  <c r="AR36" i="2" s="1"/>
  <c r="AQ35" i="2"/>
  <c r="AR35" i="2" s="1"/>
  <c r="AQ34" i="2"/>
  <c r="AR34" i="2" s="1"/>
  <c r="AQ33" i="2"/>
  <c r="AR33" i="2" s="1"/>
  <c r="AQ32" i="2"/>
  <c r="AR32" i="2" s="1"/>
  <c r="A33" i="43" l="1"/>
  <c r="B33" i="43" s="1"/>
  <c r="C32" i="43"/>
  <c r="D32" i="43" s="1"/>
  <c r="V12" i="11"/>
  <c r="V13" i="15" s="1"/>
  <c r="K11" i="11"/>
  <c r="G27" i="41"/>
  <c r="A34" i="43" l="1"/>
  <c r="B34" i="43" s="1"/>
  <c r="C33" i="43"/>
  <c r="D33" i="43" s="1"/>
  <c r="L11" i="11"/>
  <c r="W12" i="11"/>
  <c r="W13" i="15" s="1"/>
  <c r="H27" i="41"/>
  <c r="J10" i="38"/>
  <c r="I10" i="38"/>
  <c r="G10" i="38"/>
  <c r="F10" i="38"/>
  <c r="E10" i="38"/>
  <c r="D10" i="38"/>
  <c r="C10" i="38"/>
  <c r="H10" i="38" l="1"/>
  <c r="A35" i="43"/>
  <c r="B35" i="43" s="1"/>
  <c r="C34" i="43"/>
  <c r="D34" i="43" s="1"/>
  <c r="X12" i="11"/>
  <c r="X13" i="15" s="1"/>
  <c r="M11" i="11"/>
  <c r="I27" i="41"/>
  <c r="A36" i="43" l="1"/>
  <c r="B36" i="43" s="1"/>
  <c r="C35" i="43"/>
  <c r="D35" i="43" s="1"/>
  <c r="N11" i="11"/>
  <c r="Y12" i="11"/>
  <c r="Y13" i="15" s="1"/>
  <c r="J27" i="41"/>
  <c r="A37" i="43" l="1"/>
  <c r="B37" i="43" s="1"/>
  <c r="C36" i="43"/>
  <c r="D36" i="43" s="1"/>
  <c r="Z12" i="11"/>
  <c r="Z13" i="15" s="1"/>
  <c r="O11" i="11"/>
  <c r="K27" i="41"/>
  <c r="R6" i="7"/>
  <c r="R7" i="7"/>
  <c r="D16" i="11"/>
  <c r="D17" i="15" s="1"/>
  <c r="D15" i="11"/>
  <c r="D16" i="15" s="1"/>
  <c r="D14" i="11"/>
  <c r="D15" i="15" s="1"/>
  <c r="D13" i="11"/>
  <c r="D14" i="15" s="1"/>
  <c r="A38" i="43" l="1"/>
  <c r="B38" i="43" s="1"/>
  <c r="C37" i="43"/>
  <c r="D37" i="43" s="1"/>
  <c r="E14" i="11"/>
  <c r="E15" i="15" s="1"/>
  <c r="E16" i="11"/>
  <c r="E17" i="15" s="1"/>
  <c r="P11" i="11"/>
  <c r="AA12" i="11"/>
  <c r="AA13" i="15" s="1"/>
  <c r="E13" i="11"/>
  <c r="E14" i="15" s="1"/>
  <c r="E15" i="11"/>
  <c r="E16" i="15" s="1"/>
  <c r="AE7" i="7"/>
  <c r="AE6" i="7"/>
  <c r="G186" i="19" l="1"/>
  <c r="A39" i="43"/>
  <c r="B39" i="43" s="1"/>
  <c r="C38" i="43"/>
  <c r="D38" i="43" s="1"/>
  <c r="F15" i="11"/>
  <c r="F16" i="15" s="1"/>
  <c r="F13" i="11"/>
  <c r="F14" i="15" s="1"/>
  <c r="AB12" i="11"/>
  <c r="AB13" i="15" s="1"/>
  <c r="Q11" i="11"/>
  <c r="F16" i="11"/>
  <c r="F17" i="15" s="1"/>
  <c r="F14" i="11"/>
  <c r="F15" i="15" s="1"/>
  <c r="L27" i="41"/>
  <c r="M27" i="41"/>
  <c r="A40" i="43" l="1"/>
  <c r="B40" i="43" s="1"/>
  <c r="C39" i="43"/>
  <c r="D39" i="43" s="1"/>
  <c r="H186" i="19"/>
  <c r="G14" i="11"/>
  <c r="G15" i="15" s="1"/>
  <c r="G16" i="11"/>
  <c r="G17" i="15" s="1"/>
  <c r="R11" i="11"/>
  <c r="AC12" i="11"/>
  <c r="AC13" i="15" s="1"/>
  <c r="G13" i="11"/>
  <c r="G14" i="15" s="1"/>
  <c r="G15" i="11"/>
  <c r="G16" i="15" s="1"/>
  <c r="N27" i="41"/>
  <c r="R19" i="7"/>
  <c r="R18" i="7"/>
  <c r="R17" i="7"/>
  <c r="R16" i="7"/>
  <c r="R15" i="7"/>
  <c r="R14" i="7"/>
  <c r="R13" i="7"/>
  <c r="R12" i="7"/>
  <c r="R11" i="7"/>
  <c r="R10" i="7"/>
  <c r="R9" i="7"/>
  <c r="R8" i="7"/>
  <c r="AF2" i="7"/>
  <c r="AG2" i="7" s="1"/>
  <c r="AH2" i="7" s="1"/>
  <c r="AI2" i="7" s="1"/>
  <c r="AJ2" i="7" s="1"/>
  <c r="AK2" i="7" s="1"/>
  <c r="AL2" i="7" s="1"/>
  <c r="AM2" i="7" s="1"/>
  <c r="AN2" i="7" s="1"/>
  <c r="AO2" i="7" s="1"/>
  <c r="AP2" i="7" s="1"/>
  <c r="S2" i="7"/>
  <c r="A41" i="43" l="1"/>
  <c r="B41" i="43" s="1"/>
  <c r="C40" i="43"/>
  <c r="D40" i="43" s="1"/>
  <c r="H15" i="11"/>
  <c r="H16" i="15" s="1"/>
  <c r="H13" i="11"/>
  <c r="H14" i="15" s="1"/>
  <c r="AD12" i="11"/>
  <c r="AD13" i="15" s="1"/>
  <c r="S11" i="11"/>
  <c r="H16" i="11"/>
  <c r="H17" i="15" s="1"/>
  <c r="H14" i="11"/>
  <c r="H15" i="15" s="1"/>
  <c r="S5" i="7"/>
  <c r="S6" i="7"/>
  <c r="S7" i="7"/>
  <c r="AE9" i="7"/>
  <c r="AE10" i="7"/>
  <c r="S11" i="7"/>
  <c r="AE13" i="7"/>
  <c r="AE14" i="7"/>
  <c r="AE16" i="7"/>
  <c r="AE18" i="7"/>
  <c r="T2" i="7"/>
  <c r="AE8" i="7"/>
  <c r="S9" i="7"/>
  <c r="AE11" i="7"/>
  <c r="AE12" i="7"/>
  <c r="S13" i="7"/>
  <c r="AE15" i="7"/>
  <c r="AE17" i="7"/>
  <c r="AE19" i="7"/>
  <c r="T18" i="7"/>
  <c r="S19" i="7"/>
  <c r="S18" i="7"/>
  <c r="S17" i="7"/>
  <c r="S16" i="7"/>
  <c r="S15" i="7"/>
  <c r="S8" i="7"/>
  <c r="S10" i="7"/>
  <c r="S12" i="7"/>
  <c r="S14" i="7"/>
  <c r="H40" i="13"/>
  <c r="E31" i="8"/>
  <c r="E30" i="8"/>
  <c r="E29" i="8"/>
  <c r="E28" i="8"/>
  <c r="D26" i="11" s="1"/>
  <c r="D27" i="15" s="1"/>
  <c r="E27" i="8"/>
  <c r="D25" i="11" s="1"/>
  <c r="D26" i="15" s="1"/>
  <c r="E26" i="8"/>
  <c r="D24" i="11" s="1"/>
  <c r="D25" i="15" s="1"/>
  <c r="E25" i="8"/>
  <c r="D23" i="11" s="1"/>
  <c r="D24" i="15" s="1"/>
  <c r="E24" i="8"/>
  <c r="D22" i="11" s="1"/>
  <c r="D23" i="15" s="1"/>
  <c r="D21" i="11"/>
  <c r="D20" i="11"/>
  <c r="D21" i="15" s="1"/>
  <c r="D19" i="11"/>
  <c r="D20" i="15" s="1"/>
  <c r="D18" i="11"/>
  <c r="D19" i="15" s="1"/>
  <c r="D17" i="11"/>
  <c r="D18" i="15" s="1"/>
  <c r="AR21" i="9"/>
  <c r="AD7" i="7"/>
  <c r="AE45" i="7" s="1"/>
  <c r="AD6" i="7"/>
  <c r="AE44" i="7" s="1"/>
  <c r="AR20" i="9"/>
  <c r="AQ20" i="9"/>
  <c r="AR19" i="9"/>
  <c r="AQ19" i="9"/>
  <c r="AR18" i="9"/>
  <c r="AQ18" i="9"/>
  <c r="AR84" i="9"/>
  <c r="AR83" i="9"/>
  <c r="AQ84" i="9"/>
  <c r="AQ83" i="9"/>
  <c r="Q8" i="7"/>
  <c r="R46" i="7" s="1"/>
  <c r="S5" i="9" s="1"/>
  <c r="AR90" i="9"/>
  <c r="AR89" i="9"/>
  <c r="AR88" i="9"/>
  <c r="AR87" i="9"/>
  <c r="AR86" i="9"/>
  <c r="AR85" i="9"/>
  <c r="AD19" i="7"/>
  <c r="AD18" i="7"/>
  <c r="AD17" i="7"/>
  <c r="AD16" i="7"/>
  <c r="AR28" i="9"/>
  <c r="AQ28" i="9"/>
  <c r="AD15" i="7"/>
  <c r="AR27" i="9"/>
  <c r="AD14" i="7"/>
  <c r="AR26" i="9"/>
  <c r="AD13" i="7"/>
  <c r="AR25" i="9"/>
  <c r="AD12" i="7"/>
  <c r="AR24" i="9"/>
  <c r="AD11" i="7"/>
  <c r="AR23" i="9"/>
  <c r="AQ22" i="9"/>
  <c r="AD9" i="7"/>
  <c r="AQ21" i="9"/>
  <c r="Q7" i="7"/>
  <c r="R45" i="7" s="1"/>
  <c r="S4" i="9" s="1"/>
  <c r="E37" i="32"/>
  <c r="E35" i="32"/>
  <c r="E34" i="32"/>
  <c r="E33" i="32"/>
  <c r="E31" i="32"/>
  <c r="E30" i="32"/>
  <c r="E29" i="32"/>
  <c r="E27" i="32"/>
  <c r="E26" i="32"/>
  <c r="E24" i="32"/>
  <c r="E16" i="32"/>
  <c r="E19" i="32"/>
  <c r="A8" i="32"/>
  <c r="K11" i="32"/>
  <c r="J11" i="32"/>
  <c r="I11" i="32"/>
  <c r="H11" i="32"/>
  <c r="G11" i="32"/>
  <c r="F11" i="32"/>
  <c r="E11" i="32"/>
  <c r="D11" i="32"/>
  <c r="B43" i="14"/>
  <c r="B42" i="14"/>
  <c r="B41" i="14"/>
  <c r="B40" i="14"/>
  <c r="B39" i="14"/>
  <c r="B38" i="14"/>
  <c r="B37" i="14"/>
  <c r="B36" i="14"/>
  <c r="B35" i="14"/>
  <c r="B34" i="14"/>
  <c r="B33" i="14"/>
  <c r="B44" i="14"/>
  <c r="G140" i="19"/>
  <c r="A6" i="32"/>
  <c r="B196" i="19"/>
  <c r="E28" i="32"/>
  <c r="B110" i="19"/>
  <c r="F40" i="7"/>
  <c r="G40" i="7" s="1"/>
  <c r="H40" i="7" s="1"/>
  <c r="E2" i="18"/>
  <c r="E232" i="19" s="1"/>
  <c r="B168" i="19"/>
  <c r="C5" i="7"/>
  <c r="J1" i="32"/>
  <c r="J2" i="32"/>
  <c r="J3" i="32"/>
  <c r="J11" i="34"/>
  <c r="C2" i="33"/>
  <c r="D2" i="33" s="1"/>
  <c r="E2" i="33" s="1"/>
  <c r="F2" i="33" s="1"/>
  <c r="G2" i="33" s="1"/>
  <c r="H2" i="33" s="1"/>
  <c r="I2" i="33" s="1"/>
  <c r="J2" i="33" s="1"/>
  <c r="K2" i="33" s="1"/>
  <c r="L2" i="33" s="1"/>
  <c r="M2" i="33" s="1"/>
  <c r="N2" i="33" s="1"/>
  <c r="O2" i="33" s="1"/>
  <c r="P2" i="33" s="1"/>
  <c r="Q2" i="33" s="1"/>
  <c r="R2" i="33" s="1"/>
  <c r="S2" i="33" s="1"/>
  <c r="T2" i="33" s="1"/>
  <c r="U2" i="33" s="1"/>
  <c r="V2" i="33" s="1"/>
  <c r="W2" i="33" s="1"/>
  <c r="X2" i="33" s="1"/>
  <c r="Y2" i="33" s="1"/>
  <c r="Z2" i="33" s="1"/>
  <c r="AA2" i="33" s="1"/>
  <c r="AB2" i="33" s="1"/>
  <c r="AC2" i="33" s="1"/>
  <c r="AD2" i="33" s="1"/>
  <c r="AE2" i="33" s="1"/>
  <c r="AF2" i="33" s="1"/>
  <c r="AG2" i="33" s="1"/>
  <c r="AH2" i="33" s="1"/>
  <c r="AI2" i="33" s="1"/>
  <c r="AJ2" i="33" s="1"/>
  <c r="AK2" i="33" s="1"/>
  <c r="AL2" i="33" s="1"/>
  <c r="A12" i="34"/>
  <c r="D7" i="34"/>
  <c r="D4" i="34" s="1"/>
  <c r="D6" i="34"/>
  <c r="D5" i="34"/>
  <c r="J3" i="34"/>
  <c r="K3" i="34" s="1"/>
  <c r="L3" i="34" s="1"/>
  <c r="M3" i="34" s="1"/>
  <c r="N3" i="34" s="1"/>
  <c r="O3" i="34" s="1"/>
  <c r="P3" i="34" s="1"/>
  <c r="Q3" i="34" s="1"/>
  <c r="R3" i="34" s="1"/>
  <c r="S3" i="34" s="1"/>
  <c r="T3" i="34" s="1"/>
  <c r="U3" i="34" s="1"/>
  <c r="V3" i="34" s="1"/>
  <c r="W3" i="34" s="1"/>
  <c r="X3" i="34" s="1"/>
  <c r="Y3" i="34" s="1"/>
  <c r="Z3" i="34" s="1"/>
  <c r="AA3" i="34" s="1"/>
  <c r="AB3" i="34" s="1"/>
  <c r="AC3" i="34" s="1"/>
  <c r="AD3" i="34" s="1"/>
  <c r="AE3" i="34" s="1"/>
  <c r="AF3" i="34" s="1"/>
  <c r="AG3" i="34" s="1"/>
  <c r="AH3" i="34" s="1"/>
  <c r="AI3" i="34" s="1"/>
  <c r="AJ3" i="34" s="1"/>
  <c r="AK3" i="34" s="1"/>
  <c r="AL3" i="34" s="1"/>
  <c r="AM3" i="34" s="1"/>
  <c r="AN3" i="34" s="1"/>
  <c r="AO3" i="34" s="1"/>
  <c r="AP3" i="34" s="1"/>
  <c r="AQ3" i="34" s="1"/>
  <c r="AR3" i="34" s="1"/>
  <c r="AS3" i="34" s="1"/>
  <c r="AQ25" i="2"/>
  <c r="AR25" i="2" s="1"/>
  <c r="C43" i="7"/>
  <c r="E43" i="7" s="1"/>
  <c r="G2" i="9" s="1"/>
  <c r="C44" i="7"/>
  <c r="E44" i="7" s="1"/>
  <c r="G3" i="9" s="1"/>
  <c r="C19" i="7"/>
  <c r="C18" i="7"/>
  <c r="C17" i="7"/>
  <c r="C16" i="7"/>
  <c r="C15" i="7"/>
  <c r="C14" i="7"/>
  <c r="C13" i="7"/>
  <c r="C12" i="7"/>
  <c r="C11" i="7"/>
  <c r="C10" i="7"/>
  <c r="C9" i="7"/>
  <c r="C8" i="7"/>
  <c r="C7" i="7"/>
  <c r="C6" i="7"/>
  <c r="J60" i="32"/>
  <c r="F13" i="32"/>
  <c r="F12" i="32"/>
  <c r="E100" i="32"/>
  <c r="C11" i="32"/>
  <c r="C6" i="6"/>
  <c r="D6" i="6" s="1"/>
  <c r="C5" i="6"/>
  <c r="C4" i="6"/>
  <c r="C102" i="32"/>
  <c r="C101" i="32"/>
  <c r="C100" i="32"/>
  <c r="C98" i="32"/>
  <c r="C96" i="32"/>
  <c r="C95" i="32"/>
  <c r="C94" i="32"/>
  <c r="H64" i="32"/>
  <c r="F64" i="32"/>
  <c r="C64" i="32"/>
  <c r="C62" i="32"/>
  <c r="H60" i="32"/>
  <c r="F60" i="32"/>
  <c r="C60" i="32"/>
  <c r="C58" i="32"/>
  <c r="C56" i="32"/>
  <c r="C54" i="32"/>
  <c r="C53" i="32"/>
  <c r="C45" i="32"/>
  <c r="C41" i="32"/>
  <c r="D90" i="32"/>
  <c r="D83" i="32"/>
  <c r="C91" i="32"/>
  <c r="C90" i="32"/>
  <c r="C89" i="32"/>
  <c r="C88" i="32"/>
  <c r="C87" i="32"/>
  <c r="C86" i="32"/>
  <c r="C85" i="32"/>
  <c r="C84" i="32"/>
  <c r="C83" i="32"/>
  <c r="C82" i="32"/>
  <c r="C81" i="32"/>
  <c r="C80" i="32"/>
  <c r="C79" i="32"/>
  <c r="C78" i="32"/>
  <c r="C76" i="32"/>
  <c r="C75" i="32"/>
  <c r="C74" i="32"/>
  <c r="C73" i="32"/>
  <c r="C72" i="32"/>
  <c r="C71" i="32"/>
  <c r="C70" i="32"/>
  <c r="C69" i="32"/>
  <c r="C68" i="32"/>
  <c r="C67" i="32"/>
  <c r="D66" i="32"/>
  <c r="E21" i="32"/>
  <c r="E20" i="32"/>
  <c r="K13" i="32"/>
  <c r="J13" i="32"/>
  <c r="I13" i="32"/>
  <c r="H13" i="32"/>
  <c r="G13" i="32"/>
  <c r="E13" i="32"/>
  <c r="D13" i="32"/>
  <c r="C13" i="32"/>
  <c r="K12" i="32"/>
  <c r="J12" i="32"/>
  <c r="I12" i="32"/>
  <c r="H12" i="32"/>
  <c r="G12" i="32"/>
  <c r="E12" i="32"/>
  <c r="D12" i="32"/>
  <c r="C12" i="32"/>
  <c r="B6" i="13"/>
  <c r="G6" i="13" s="1"/>
  <c r="C12" i="15" s="1"/>
  <c r="B1" i="19"/>
  <c r="B333" i="19"/>
  <c r="B337" i="19"/>
  <c r="B335" i="19"/>
  <c r="B331" i="19"/>
  <c r="B329" i="19"/>
  <c r="B327" i="19"/>
  <c r="B326" i="19"/>
  <c r="B318" i="19"/>
  <c r="B314" i="19"/>
  <c r="E19" i="2"/>
  <c r="G148" i="19" s="1"/>
  <c r="E18" i="2"/>
  <c r="G147" i="19" s="1"/>
  <c r="E17" i="2"/>
  <c r="G146" i="19" s="1"/>
  <c r="E16" i="2"/>
  <c r="G145" i="19" s="1"/>
  <c r="E15" i="2"/>
  <c r="G144" i="19" s="1"/>
  <c r="E14" i="2"/>
  <c r="G143" i="19" s="1"/>
  <c r="E13" i="2"/>
  <c r="E12" i="2"/>
  <c r="G141" i="19" s="1"/>
  <c r="G139" i="19"/>
  <c r="G137" i="19"/>
  <c r="G134" i="19"/>
  <c r="J69" i="22"/>
  <c r="K37" i="22"/>
  <c r="L37" i="22" s="1"/>
  <c r="M37" i="22" s="1"/>
  <c r="N37" i="22" s="1"/>
  <c r="O37" i="22" s="1"/>
  <c r="P37" i="22" s="1"/>
  <c r="Q37" i="22" s="1"/>
  <c r="R37" i="22" s="1"/>
  <c r="S37" i="22" s="1"/>
  <c r="T37" i="22" s="1"/>
  <c r="U37" i="22" s="1"/>
  <c r="V37" i="22" s="1"/>
  <c r="W37" i="22" s="1"/>
  <c r="X37" i="22" s="1"/>
  <c r="Y37" i="22" s="1"/>
  <c r="Z37" i="22" s="1"/>
  <c r="AA37" i="22" s="1"/>
  <c r="AB37" i="22" s="1"/>
  <c r="AC37" i="22" s="1"/>
  <c r="AD37" i="22" s="1"/>
  <c r="AE37" i="22" s="1"/>
  <c r="AF37" i="22" s="1"/>
  <c r="AG37" i="22" s="1"/>
  <c r="AH37" i="22" s="1"/>
  <c r="AI37" i="22" s="1"/>
  <c r="AJ37" i="22" s="1"/>
  <c r="AK37" i="22" s="1"/>
  <c r="AL37" i="22" s="1"/>
  <c r="AM37" i="22" s="1"/>
  <c r="AN37" i="22" s="1"/>
  <c r="AO37" i="22" s="1"/>
  <c r="AP37" i="22" s="1"/>
  <c r="AQ37" i="22" s="1"/>
  <c r="AR37" i="22" s="1"/>
  <c r="AS37" i="22" s="1"/>
  <c r="J73" i="19"/>
  <c r="I73" i="19"/>
  <c r="H73" i="19"/>
  <c r="G73" i="19"/>
  <c r="F73" i="19"/>
  <c r="E73" i="19"/>
  <c r="D73" i="19"/>
  <c r="C73" i="19"/>
  <c r="B73" i="19"/>
  <c r="J72" i="19"/>
  <c r="I72" i="19"/>
  <c r="H72" i="19"/>
  <c r="G72" i="19"/>
  <c r="F72" i="19"/>
  <c r="E72" i="19"/>
  <c r="D72" i="19"/>
  <c r="C72" i="19"/>
  <c r="B72" i="19"/>
  <c r="J71" i="19"/>
  <c r="I71" i="19"/>
  <c r="H71" i="19"/>
  <c r="G71" i="19"/>
  <c r="F71" i="19"/>
  <c r="E71" i="19"/>
  <c r="D71" i="19"/>
  <c r="C71" i="19"/>
  <c r="B71" i="19"/>
  <c r="J70" i="19"/>
  <c r="I70" i="19"/>
  <c r="H70" i="19"/>
  <c r="G70" i="19"/>
  <c r="F70" i="19"/>
  <c r="E70" i="19"/>
  <c r="D70" i="19"/>
  <c r="C70" i="19"/>
  <c r="B403" i="19"/>
  <c r="B402" i="19"/>
  <c r="B401" i="19"/>
  <c r="B399" i="19"/>
  <c r="B388" i="19"/>
  <c r="E370" i="19"/>
  <c r="E364" i="19"/>
  <c r="B366" i="19"/>
  <c r="B397" i="19" s="1"/>
  <c r="B364" i="19"/>
  <c r="B395" i="19" s="1"/>
  <c r="B363" i="19"/>
  <c r="B394" i="19" s="1"/>
  <c r="B362" i="19"/>
  <c r="B393" i="19" s="1"/>
  <c r="B360" i="19"/>
  <c r="B391" i="19" s="1"/>
  <c r="B359" i="19"/>
  <c r="B390" i="19" s="1"/>
  <c r="B348" i="19"/>
  <c r="B379" i="19" s="1"/>
  <c r="B346" i="19"/>
  <c r="B377" i="19" s="1"/>
  <c r="B345" i="19"/>
  <c r="B376" i="19" s="1"/>
  <c r="B344" i="19"/>
  <c r="B375" i="19" s="1"/>
  <c r="B308" i="19"/>
  <c r="B306" i="19"/>
  <c r="B304" i="19"/>
  <c r="B303" i="19"/>
  <c r="B302" i="19"/>
  <c r="B301" i="19"/>
  <c r="B300" i="19"/>
  <c r="B293" i="19"/>
  <c r="B267" i="19"/>
  <c r="B292" i="19" s="1"/>
  <c r="B264" i="19"/>
  <c r="B289" i="19" s="1"/>
  <c r="G176" i="19"/>
  <c r="F176" i="19"/>
  <c r="E176" i="19"/>
  <c r="B129" i="19"/>
  <c r="B170" i="19"/>
  <c r="H244" i="19"/>
  <c r="I232" i="19"/>
  <c r="B258" i="19"/>
  <c r="B256" i="19"/>
  <c r="B254" i="19"/>
  <c r="B253" i="19"/>
  <c r="B245" i="19"/>
  <c r="B234" i="19"/>
  <c r="B229" i="19"/>
  <c r="C228" i="19"/>
  <c r="B228" i="19"/>
  <c r="B227" i="19"/>
  <c r="B226" i="19"/>
  <c r="B225" i="19"/>
  <c r="B224" i="19"/>
  <c r="B223" i="19"/>
  <c r="B222" i="19"/>
  <c r="C221" i="19"/>
  <c r="B221" i="19"/>
  <c r="B220" i="19"/>
  <c r="B219" i="19"/>
  <c r="B218" i="19"/>
  <c r="B217" i="19"/>
  <c r="B216" i="19"/>
  <c r="B215" i="19"/>
  <c r="B213" i="19"/>
  <c r="B212" i="19"/>
  <c r="B211" i="19"/>
  <c r="B210" i="19"/>
  <c r="B209" i="19"/>
  <c r="B208" i="19"/>
  <c r="B207" i="19"/>
  <c r="B206" i="19"/>
  <c r="B205" i="19"/>
  <c r="B204" i="19"/>
  <c r="D149" i="19"/>
  <c r="B149" i="19"/>
  <c r="F147" i="19"/>
  <c r="F146" i="19"/>
  <c r="F145" i="19"/>
  <c r="F144" i="19"/>
  <c r="F143" i="19"/>
  <c r="F142" i="19"/>
  <c r="F141" i="19"/>
  <c r="F140" i="19"/>
  <c r="F139" i="19"/>
  <c r="F138" i="19"/>
  <c r="F137" i="19"/>
  <c r="F136" i="19"/>
  <c r="F135" i="19"/>
  <c r="F134" i="19"/>
  <c r="D133" i="19"/>
  <c r="B133" i="19"/>
  <c r="B113" i="19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06" i="19"/>
  <c r="B108" i="19"/>
  <c r="B102" i="19"/>
  <c r="F95" i="19"/>
  <c r="E95" i="19"/>
  <c r="D95" i="19"/>
  <c r="C95" i="19"/>
  <c r="B95" i="19"/>
  <c r="F94" i="19"/>
  <c r="E94" i="19"/>
  <c r="D94" i="19"/>
  <c r="C94" i="19"/>
  <c r="B94" i="19"/>
  <c r="F93" i="19"/>
  <c r="E93" i="19"/>
  <c r="D93" i="19"/>
  <c r="C93" i="19"/>
  <c r="B93" i="19"/>
  <c r="F92" i="19"/>
  <c r="E92" i="19"/>
  <c r="D92" i="19"/>
  <c r="C92" i="19"/>
  <c r="B92" i="19"/>
  <c r="F91" i="19"/>
  <c r="E91" i="19"/>
  <c r="D91" i="19"/>
  <c r="C91" i="19"/>
  <c r="B91" i="19"/>
  <c r="F90" i="19"/>
  <c r="E90" i="19"/>
  <c r="D90" i="19"/>
  <c r="C90" i="19"/>
  <c r="B90" i="19"/>
  <c r="F89" i="19"/>
  <c r="E89" i="19"/>
  <c r="D89" i="19"/>
  <c r="C89" i="19"/>
  <c r="B89" i="19"/>
  <c r="F88" i="19"/>
  <c r="E88" i="19"/>
  <c r="D88" i="19"/>
  <c r="C88" i="19"/>
  <c r="B88" i="19"/>
  <c r="F87" i="19"/>
  <c r="E87" i="19"/>
  <c r="D87" i="19"/>
  <c r="C87" i="19"/>
  <c r="B87" i="19"/>
  <c r="F86" i="19"/>
  <c r="E86" i="19"/>
  <c r="D86" i="19"/>
  <c r="C86" i="19"/>
  <c r="B86" i="19"/>
  <c r="F85" i="19"/>
  <c r="E85" i="19"/>
  <c r="D85" i="19"/>
  <c r="C85" i="19"/>
  <c r="B85" i="19"/>
  <c r="F84" i="19"/>
  <c r="E84" i="19"/>
  <c r="D84" i="19"/>
  <c r="C84" i="19"/>
  <c r="B84" i="19"/>
  <c r="F83" i="19"/>
  <c r="E83" i="19"/>
  <c r="D83" i="19"/>
  <c r="C83" i="19"/>
  <c r="B83" i="19"/>
  <c r="F82" i="19"/>
  <c r="E82" i="19"/>
  <c r="D82" i="19"/>
  <c r="C82" i="19"/>
  <c r="B82" i="19"/>
  <c r="F81" i="19"/>
  <c r="E81" i="19"/>
  <c r="D81" i="19"/>
  <c r="C81" i="19"/>
  <c r="B81" i="19"/>
  <c r="B65" i="19"/>
  <c r="B64" i="19"/>
  <c r="E12" i="19"/>
  <c r="E16" i="19"/>
  <c r="E14" i="19"/>
  <c r="C10" i="19"/>
  <c r="F34" i="1"/>
  <c r="H21" i="56" s="1"/>
  <c r="F33" i="1"/>
  <c r="F32" i="1"/>
  <c r="H19" i="56" s="1"/>
  <c r="C8" i="19"/>
  <c r="B5" i="19"/>
  <c r="B13" i="18"/>
  <c r="B243" i="19" s="1"/>
  <c r="B12" i="18"/>
  <c r="B242" i="19" s="1"/>
  <c r="B11" i="18"/>
  <c r="B241" i="19" s="1"/>
  <c r="B10" i="18"/>
  <c r="B240" i="19" s="1"/>
  <c r="B9" i="18"/>
  <c r="B239" i="19" s="1"/>
  <c r="B8" i="18"/>
  <c r="B238" i="19" s="1"/>
  <c r="B237" i="19"/>
  <c r="B70" i="19"/>
  <c r="Q2" i="18"/>
  <c r="P2" i="18"/>
  <c r="O2" i="18"/>
  <c r="N2" i="18"/>
  <c r="M2" i="18"/>
  <c r="L2" i="18"/>
  <c r="K2" i="18"/>
  <c r="J2" i="18"/>
  <c r="I2" i="18"/>
  <c r="H2" i="18"/>
  <c r="G2" i="18"/>
  <c r="G232" i="19" s="1"/>
  <c r="F2" i="18"/>
  <c r="F232" i="19" s="1"/>
  <c r="D2" i="18"/>
  <c r="D232" i="19" s="1"/>
  <c r="C2" i="18"/>
  <c r="C232" i="19" s="1"/>
  <c r="B25" i="18"/>
  <c r="B255" i="19" s="1"/>
  <c r="B22" i="18"/>
  <c r="B252" i="19" s="1"/>
  <c r="B21" i="18"/>
  <c r="B251" i="19" s="1"/>
  <c r="B20" i="18"/>
  <c r="B250" i="19" s="1"/>
  <c r="B19" i="18"/>
  <c r="B249" i="19" s="1"/>
  <c r="B18" i="18"/>
  <c r="B248" i="19" s="1"/>
  <c r="B17" i="18"/>
  <c r="B247" i="19" s="1"/>
  <c r="H38" i="2"/>
  <c r="D3" i="15" s="1"/>
  <c r="J3" i="6"/>
  <c r="K3" i="6" s="1"/>
  <c r="L3" i="6" s="1"/>
  <c r="M3" i="6" s="1"/>
  <c r="N3" i="6" s="1"/>
  <c r="O3" i="6" s="1"/>
  <c r="P3" i="6" s="1"/>
  <c r="Q3" i="6" s="1"/>
  <c r="R3" i="6" s="1"/>
  <c r="S3" i="6" s="1"/>
  <c r="T3" i="6" s="1"/>
  <c r="U3" i="6" s="1"/>
  <c r="V3" i="6" s="1"/>
  <c r="W3" i="6" s="1"/>
  <c r="X3" i="6" s="1"/>
  <c r="Y3" i="6" s="1"/>
  <c r="Z3" i="6" s="1"/>
  <c r="AA3" i="6" s="1"/>
  <c r="AB3" i="6" s="1"/>
  <c r="AC3" i="6" s="1"/>
  <c r="AD3" i="6" s="1"/>
  <c r="AE3" i="6" s="1"/>
  <c r="AF3" i="6" s="1"/>
  <c r="AG3" i="6" s="1"/>
  <c r="AH3" i="6" s="1"/>
  <c r="AI3" i="6" s="1"/>
  <c r="AJ3" i="6" s="1"/>
  <c r="AK3" i="6" s="1"/>
  <c r="AL3" i="6" s="1"/>
  <c r="AM3" i="6" s="1"/>
  <c r="AN3" i="6" s="1"/>
  <c r="AO3" i="6" s="1"/>
  <c r="AP3" i="6" s="1"/>
  <c r="AQ3" i="6" s="1"/>
  <c r="AR3" i="6" s="1"/>
  <c r="AS3" i="6" s="1"/>
  <c r="B29" i="11"/>
  <c r="B30" i="15" s="1"/>
  <c r="B28" i="11"/>
  <c r="B29" i="15" s="1"/>
  <c r="B27" i="11"/>
  <c r="B28" i="15" s="1"/>
  <c r="B26" i="11"/>
  <c r="B27" i="15" s="1"/>
  <c r="B25" i="11"/>
  <c r="B26" i="15" s="1"/>
  <c r="C2" i="15"/>
  <c r="B18" i="12"/>
  <c r="C70" i="56" s="1"/>
  <c r="B24" i="11"/>
  <c r="B25" i="15" s="1"/>
  <c r="B23" i="11"/>
  <c r="B24" i="15" s="1"/>
  <c r="B22" i="11"/>
  <c r="B23" i="15" s="1"/>
  <c r="B21" i="11"/>
  <c r="B22" i="15" s="1"/>
  <c r="B20" i="11"/>
  <c r="B21" i="15" s="1"/>
  <c r="B19" i="11"/>
  <c r="B20" i="15" s="1"/>
  <c r="B18" i="11"/>
  <c r="B19" i="15" s="1"/>
  <c r="B17" i="11"/>
  <c r="B18" i="15" s="1"/>
  <c r="B17" i="15"/>
  <c r="B16" i="15"/>
  <c r="B14" i="11"/>
  <c r="B274" i="19" s="1"/>
  <c r="B299" i="19" s="1"/>
  <c r="B13" i="11"/>
  <c r="B273" i="19" s="1"/>
  <c r="B298" i="19" s="1"/>
  <c r="B12" i="11"/>
  <c r="B13" i="15" s="1"/>
  <c r="B11" i="11"/>
  <c r="B271" i="19" s="1"/>
  <c r="B296" i="19" s="1"/>
  <c r="B10" i="11"/>
  <c r="B11" i="15" s="1"/>
  <c r="B9" i="11"/>
  <c r="G138" i="19"/>
  <c r="G136" i="19"/>
  <c r="G135" i="19"/>
  <c r="B266" i="19"/>
  <c r="B291" i="19" s="1"/>
  <c r="B5" i="11"/>
  <c r="B265" i="19" s="1"/>
  <c r="B290" i="19" s="1"/>
  <c r="AP38" i="2"/>
  <c r="AL3" i="15" s="1"/>
  <c r="AO38" i="2"/>
  <c r="AK3" i="15" s="1"/>
  <c r="AN38" i="2"/>
  <c r="AJ3" i="15" s="1"/>
  <c r="AM38" i="2"/>
  <c r="AI3" i="15" s="1"/>
  <c r="AL38" i="2"/>
  <c r="AH3" i="15" s="1"/>
  <c r="AK38" i="2"/>
  <c r="AG3" i="15" s="1"/>
  <c r="AJ38" i="2"/>
  <c r="AF3" i="15" s="1"/>
  <c r="AI38" i="2"/>
  <c r="AE3" i="15" s="1"/>
  <c r="AH38" i="2"/>
  <c r="AD3" i="15" s="1"/>
  <c r="AG38" i="2"/>
  <c r="AC3" i="15" s="1"/>
  <c r="AF38" i="2"/>
  <c r="AB3" i="15" s="1"/>
  <c r="AE38" i="2"/>
  <c r="AA3" i="15" s="1"/>
  <c r="AD38" i="2"/>
  <c r="Z3" i="15" s="1"/>
  <c r="AC38" i="2"/>
  <c r="Y3" i="15" s="1"/>
  <c r="AB38" i="2"/>
  <c r="X3" i="15" s="1"/>
  <c r="AA38" i="2"/>
  <c r="W3" i="15" s="1"/>
  <c r="Z38" i="2"/>
  <c r="V3" i="15" s="1"/>
  <c r="Y38" i="2"/>
  <c r="U3" i="15" s="1"/>
  <c r="X38" i="2"/>
  <c r="T3" i="15" s="1"/>
  <c r="W38" i="2"/>
  <c r="S3" i="15" s="1"/>
  <c r="V38" i="2"/>
  <c r="R3" i="15" s="1"/>
  <c r="U38" i="2"/>
  <c r="Q3" i="15" s="1"/>
  <c r="T38" i="2"/>
  <c r="P3" i="15" s="1"/>
  <c r="S38" i="2"/>
  <c r="O3" i="15" s="1"/>
  <c r="R38" i="2"/>
  <c r="N3" i="15" s="1"/>
  <c r="Q38" i="2"/>
  <c r="M3" i="15" s="1"/>
  <c r="P38" i="2"/>
  <c r="O38" i="2"/>
  <c r="K3" i="15" s="1"/>
  <c r="N38" i="2"/>
  <c r="M38" i="2"/>
  <c r="I3" i="15" s="1"/>
  <c r="L38" i="2"/>
  <c r="H3" i="15" s="1"/>
  <c r="K38" i="2"/>
  <c r="G3" i="15" s="1"/>
  <c r="I344" i="19" s="1"/>
  <c r="J38" i="2"/>
  <c r="F3" i="15" s="1"/>
  <c r="I38" i="2"/>
  <c r="E3" i="15" s="1"/>
  <c r="G344" i="19" s="1"/>
  <c r="AQ19" i="2"/>
  <c r="AQ18" i="2"/>
  <c r="AQ17" i="2"/>
  <c r="AQ16" i="2"/>
  <c r="AQ15" i="2"/>
  <c r="AQ14" i="2"/>
  <c r="AQ13" i="2"/>
  <c r="AQ12" i="2"/>
  <c r="AQ11" i="2"/>
  <c r="AQ9" i="2"/>
  <c r="AQ8" i="2"/>
  <c r="AQ7" i="2"/>
  <c r="AQ6" i="2"/>
  <c r="AQ5" i="2"/>
  <c r="C55" i="32"/>
  <c r="E352" i="19"/>
  <c r="B6" i="18"/>
  <c r="B236" i="19" s="1"/>
  <c r="B15" i="12"/>
  <c r="C67" i="56" s="1"/>
  <c r="AE24" i="2"/>
  <c r="AF24" i="2" s="1"/>
  <c r="AG24" i="2" s="1"/>
  <c r="AH24" i="2" s="1"/>
  <c r="AI24" i="2" s="1"/>
  <c r="AJ24" i="2" s="1"/>
  <c r="AK24" i="2" s="1"/>
  <c r="AL24" i="2" s="1"/>
  <c r="AM24" i="2" s="1"/>
  <c r="AN24" i="2" s="1"/>
  <c r="AO24" i="2" s="1"/>
  <c r="AP24" i="2" s="1"/>
  <c r="S24" i="2"/>
  <c r="T24" i="2" s="1"/>
  <c r="U24" i="2" s="1"/>
  <c r="V24" i="2" s="1"/>
  <c r="W24" i="2" s="1"/>
  <c r="X24" i="2" s="1"/>
  <c r="Y24" i="2" s="1"/>
  <c r="Z24" i="2" s="1"/>
  <c r="AA24" i="2" s="1"/>
  <c r="AB24" i="2" s="1"/>
  <c r="AC24" i="2" s="1"/>
  <c r="AD24" i="2" s="1"/>
  <c r="G24" i="2"/>
  <c r="H24" i="2" s="1"/>
  <c r="I24" i="2" s="1"/>
  <c r="J24" i="2" s="1"/>
  <c r="K24" i="2" s="1"/>
  <c r="L24" i="2" s="1"/>
  <c r="M24" i="2" s="1"/>
  <c r="N24" i="2" s="1"/>
  <c r="O24" i="2" s="1"/>
  <c r="P24" i="2" s="1"/>
  <c r="Q24" i="2" s="1"/>
  <c r="R24" i="2" s="1"/>
  <c r="G3" i="2"/>
  <c r="AB37" i="8"/>
  <c r="AC37" i="8" s="1"/>
  <c r="AD37" i="8" s="1"/>
  <c r="AE37" i="8" s="1"/>
  <c r="AF37" i="8" s="1"/>
  <c r="AG37" i="8" s="1"/>
  <c r="AH37" i="8" s="1"/>
  <c r="AI37" i="8" s="1"/>
  <c r="AJ37" i="8" s="1"/>
  <c r="AK37" i="8" s="1"/>
  <c r="AL37" i="8" s="1"/>
  <c r="AM37" i="8" s="1"/>
  <c r="P37" i="8"/>
  <c r="Q37" i="8" s="1"/>
  <c r="R37" i="8" s="1"/>
  <c r="S37" i="8" s="1"/>
  <c r="T37" i="8" s="1"/>
  <c r="U37" i="8" s="1"/>
  <c r="V37" i="8" s="1"/>
  <c r="W37" i="8" s="1"/>
  <c r="X37" i="8" s="1"/>
  <c r="Y37" i="8" s="1"/>
  <c r="Z37" i="8" s="1"/>
  <c r="AA37" i="8" s="1"/>
  <c r="D37" i="8"/>
  <c r="E37" i="8" s="1"/>
  <c r="F37" i="8" s="1"/>
  <c r="G37" i="8" s="1"/>
  <c r="H37" i="8" s="1"/>
  <c r="I37" i="8" s="1"/>
  <c r="J37" i="8" s="1"/>
  <c r="K37" i="8" s="1"/>
  <c r="L37" i="8" s="1"/>
  <c r="M37" i="8" s="1"/>
  <c r="N37" i="8" s="1"/>
  <c r="O37" i="8" s="1"/>
  <c r="AB34" i="8"/>
  <c r="AC34" i="8" s="1"/>
  <c r="AD34" i="8" s="1"/>
  <c r="AE34" i="8" s="1"/>
  <c r="AF34" i="8" s="1"/>
  <c r="AG34" i="8" s="1"/>
  <c r="AH34" i="8" s="1"/>
  <c r="AI34" i="8" s="1"/>
  <c r="AJ34" i="8" s="1"/>
  <c r="AK34" i="8" s="1"/>
  <c r="AL34" i="8" s="1"/>
  <c r="AM34" i="8" s="1"/>
  <c r="P34" i="8"/>
  <c r="Q34" i="8" s="1"/>
  <c r="R34" i="8" s="1"/>
  <c r="S34" i="8" s="1"/>
  <c r="T34" i="8" s="1"/>
  <c r="U34" i="8" s="1"/>
  <c r="V34" i="8" s="1"/>
  <c r="W34" i="8" s="1"/>
  <c r="X34" i="8" s="1"/>
  <c r="Y34" i="8" s="1"/>
  <c r="Z34" i="8" s="1"/>
  <c r="AA34" i="8" s="1"/>
  <c r="D34" i="8"/>
  <c r="E34" i="8" s="1"/>
  <c r="F34" i="8" s="1"/>
  <c r="G34" i="8" s="1"/>
  <c r="H34" i="8" s="1"/>
  <c r="I34" i="8" s="1"/>
  <c r="J34" i="8" s="1"/>
  <c r="K34" i="8" s="1"/>
  <c r="L34" i="8" s="1"/>
  <c r="M34" i="8" s="1"/>
  <c r="N34" i="8" s="1"/>
  <c r="O34" i="8" s="1"/>
  <c r="AB10" i="8"/>
  <c r="AB7" i="8"/>
  <c r="AC7" i="8" s="1"/>
  <c r="AD7" i="8" s="1"/>
  <c r="AE7" i="8" s="1"/>
  <c r="AF7" i="8" s="1"/>
  <c r="AG7" i="8" s="1"/>
  <c r="AH7" i="8" s="1"/>
  <c r="AI7" i="8" s="1"/>
  <c r="AJ7" i="8" s="1"/>
  <c r="AK7" i="8" s="1"/>
  <c r="AL7" i="8" s="1"/>
  <c r="AM7" i="8" s="1"/>
  <c r="AB5" i="8"/>
  <c r="AC5" i="8" s="1"/>
  <c r="AD5" i="8" s="1"/>
  <c r="AE5" i="8" s="1"/>
  <c r="AF5" i="8" s="1"/>
  <c r="AG5" i="8" s="1"/>
  <c r="AH5" i="8" s="1"/>
  <c r="AI5" i="8" s="1"/>
  <c r="AJ5" i="8" s="1"/>
  <c r="AK5" i="8" s="1"/>
  <c r="AL5" i="8" s="1"/>
  <c r="AM5" i="8" s="1"/>
  <c r="P10" i="8"/>
  <c r="P7" i="8"/>
  <c r="Q7" i="8" s="1"/>
  <c r="R7" i="8" s="1"/>
  <c r="S7" i="8" s="1"/>
  <c r="T7" i="8" s="1"/>
  <c r="U7" i="8" s="1"/>
  <c r="V7" i="8" s="1"/>
  <c r="W7" i="8" s="1"/>
  <c r="X7" i="8" s="1"/>
  <c r="Y7" i="8" s="1"/>
  <c r="Z7" i="8" s="1"/>
  <c r="AA7" i="8" s="1"/>
  <c r="P5" i="8"/>
  <c r="Q5" i="8" s="1"/>
  <c r="R5" i="8" s="1"/>
  <c r="S5" i="8" s="1"/>
  <c r="T5" i="8" s="1"/>
  <c r="U5" i="8" s="1"/>
  <c r="V5" i="8" s="1"/>
  <c r="W5" i="8" s="1"/>
  <c r="X5" i="8" s="1"/>
  <c r="Y5" i="8" s="1"/>
  <c r="Z5" i="8" s="1"/>
  <c r="AA5" i="8" s="1"/>
  <c r="D5" i="8"/>
  <c r="E5" i="8" s="1"/>
  <c r="F5" i="8" s="1"/>
  <c r="G5" i="8" s="1"/>
  <c r="H5" i="8" s="1"/>
  <c r="I5" i="8" s="1"/>
  <c r="J5" i="8" s="1"/>
  <c r="K5" i="8" s="1"/>
  <c r="L5" i="8" s="1"/>
  <c r="M5" i="8" s="1"/>
  <c r="N5" i="8" s="1"/>
  <c r="O5" i="8" s="1"/>
  <c r="B14" i="12"/>
  <c r="C66" i="56" s="1"/>
  <c r="B13" i="12"/>
  <c r="C65" i="56" s="1"/>
  <c r="B12" i="12"/>
  <c r="B11" i="12"/>
  <c r="C63" i="56" s="1"/>
  <c r="B10" i="12"/>
  <c r="G1" i="9"/>
  <c r="G2" i="13" s="1"/>
  <c r="G50" i="13" s="1"/>
  <c r="C2" i="11"/>
  <c r="D2" i="11" s="1"/>
  <c r="E2" i="11" s="1"/>
  <c r="G262" i="19" s="1"/>
  <c r="A12" i="6"/>
  <c r="D7" i="6"/>
  <c r="D4" i="6" s="1"/>
  <c r="B44" i="7"/>
  <c r="B45" i="7"/>
  <c r="B46" i="7"/>
  <c r="B47" i="7"/>
  <c r="B48" i="7"/>
  <c r="B49" i="7"/>
  <c r="B50" i="7"/>
  <c r="B51" i="7"/>
  <c r="B52" i="7"/>
  <c r="B53" i="7"/>
  <c r="B54" i="7"/>
  <c r="B16" i="7" s="1"/>
  <c r="B55" i="7"/>
  <c r="B17" i="7" s="1"/>
  <c r="B56" i="7"/>
  <c r="B18" i="7" s="1"/>
  <c r="B57" i="7"/>
  <c r="B19" i="7" s="1"/>
  <c r="B43" i="7"/>
  <c r="E42" i="7"/>
  <c r="E371" i="43" s="1"/>
  <c r="D10" i="8"/>
  <c r="D7" i="8"/>
  <c r="E7" i="8" s="1"/>
  <c r="F7" i="8" s="1"/>
  <c r="G7" i="8" s="1"/>
  <c r="H7" i="8" s="1"/>
  <c r="I7" i="8" s="1"/>
  <c r="J7" i="8" s="1"/>
  <c r="K7" i="8" s="1"/>
  <c r="L7" i="8" s="1"/>
  <c r="M7" i="8" s="1"/>
  <c r="N7" i="8" s="1"/>
  <c r="O7" i="8" s="1"/>
  <c r="C57" i="7"/>
  <c r="E57" i="7" s="1"/>
  <c r="G16" i="9" s="1"/>
  <c r="C56" i="7"/>
  <c r="E56" i="7" s="1"/>
  <c r="G15" i="9" s="1"/>
  <c r="C55" i="7"/>
  <c r="E55" i="7" s="1"/>
  <c r="G14" i="9" s="1"/>
  <c r="C54" i="7"/>
  <c r="E54" i="7" s="1"/>
  <c r="G13" i="9" s="1"/>
  <c r="C53" i="7"/>
  <c r="E53" i="7" s="1"/>
  <c r="G12" i="9" s="1"/>
  <c r="C52" i="7"/>
  <c r="E52" i="7" s="1"/>
  <c r="G11" i="9" s="1"/>
  <c r="C51" i="7"/>
  <c r="E51" i="7" s="1"/>
  <c r="G10" i="9" s="1"/>
  <c r="C50" i="7"/>
  <c r="E50" i="7" s="1"/>
  <c r="G9" i="9" s="1"/>
  <c r="C49" i="7"/>
  <c r="E49" i="7" s="1"/>
  <c r="G8" i="9" s="1"/>
  <c r="C48" i="7"/>
  <c r="E48" i="7" s="1"/>
  <c r="G7" i="9" s="1"/>
  <c r="C45" i="7"/>
  <c r="E45" i="7" s="1"/>
  <c r="G4" i="9" s="1"/>
  <c r="C46" i="7"/>
  <c r="E46" i="7" s="1"/>
  <c r="G5" i="9" s="1"/>
  <c r="C47" i="7"/>
  <c r="E47" i="7" s="1"/>
  <c r="G6" i="9" s="1"/>
  <c r="F42" i="7"/>
  <c r="F371" i="43" s="1"/>
  <c r="X31" i="43" s="1"/>
  <c r="F7" i="2"/>
  <c r="H136" i="19" s="1"/>
  <c r="F8" i="2"/>
  <c r="H137" i="19" s="1"/>
  <c r="F9" i="2"/>
  <c r="H138" i="19" s="1"/>
  <c r="F11" i="2"/>
  <c r="H140" i="19" s="1"/>
  <c r="F6" i="2"/>
  <c r="H135" i="19" s="1"/>
  <c r="F18" i="2"/>
  <c r="H147" i="19" s="1"/>
  <c r="F10" i="2"/>
  <c r="H139" i="19" s="1"/>
  <c r="B6" i="12"/>
  <c r="F5" i="2"/>
  <c r="H134" i="19" s="1"/>
  <c r="J18" i="13"/>
  <c r="I18" i="13"/>
  <c r="M18" i="13"/>
  <c r="L18" i="13"/>
  <c r="N18" i="13"/>
  <c r="K18" i="13"/>
  <c r="T21" i="2"/>
  <c r="P41" i="15" s="1"/>
  <c r="U18" i="13"/>
  <c r="T18" i="13"/>
  <c r="V18" i="13"/>
  <c r="K21" i="2"/>
  <c r="I21" i="2"/>
  <c r="H21" i="2"/>
  <c r="D41" i="15" s="1"/>
  <c r="F366" i="19" s="1"/>
  <c r="H18" i="13"/>
  <c r="S18" i="13"/>
  <c r="V21" i="2"/>
  <c r="R41" i="15" s="1"/>
  <c r="O18" i="13"/>
  <c r="X18" i="13"/>
  <c r="S21" i="2"/>
  <c r="O41" i="15" s="1"/>
  <c r="W18" i="13"/>
  <c r="O21" i="2"/>
  <c r="K41" i="15" s="1"/>
  <c r="G397" i="19" s="1"/>
  <c r="W21" i="2"/>
  <c r="S41" i="15" s="1"/>
  <c r="Y18" i="13"/>
  <c r="X21" i="2"/>
  <c r="T41" i="15" s="1"/>
  <c r="Q18" i="13"/>
  <c r="Z18" i="13"/>
  <c r="R18" i="13"/>
  <c r="Z21" i="2"/>
  <c r="V41" i="15" s="1"/>
  <c r="AA18" i="13"/>
  <c r="R21" i="2"/>
  <c r="AD18" i="13"/>
  <c r="AE18" i="13"/>
  <c r="AD21" i="2"/>
  <c r="Z41" i="15" s="1"/>
  <c r="AC18" i="13"/>
  <c r="AF18" i="13"/>
  <c r="AG18" i="13"/>
  <c r="AF21" i="2"/>
  <c r="AB41" i="15" s="1"/>
  <c r="AG21" i="2"/>
  <c r="AC41" i="15" s="1"/>
  <c r="AH18" i="13"/>
  <c r="AH21" i="2"/>
  <c r="AD41" i="15" s="1"/>
  <c r="AI18" i="13"/>
  <c r="AJ18" i="13"/>
  <c r="AI21" i="2"/>
  <c r="AE41" i="15" s="1"/>
  <c r="AJ21" i="2"/>
  <c r="AF41" i="15" s="1"/>
  <c r="AK18" i="13"/>
  <c r="AL18" i="13"/>
  <c r="AL21" i="2"/>
  <c r="AH41" i="15" s="1"/>
  <c r="AM18" i="13"/>
  <c r="AO18" i="13"/>
  <c r="AP21" i="2"/>
  <c r="AL41" i="15" s="1"/>
  <c r="AP18" i="13"/>
  <c r="P21" i="2"/>
  <c r="AB21" i="2"/>
  <c r="X41" i="15" s="1"/>
  <c r="P18" i="13"/>
  <c r="AN21" i="2"/>
  <c r="AJ41" i="15" s="1"/>
  <c r="AQ10" i="2"/>
  <c r="AB18" i="13"/>
  <c r="H20" i="56" l="1"/>
  <c r="C126" i="32"/>
  <c r="C143" i="56" s="1"/>
  <c r="AK21" i="2"/>
  <c r="AG41" i="15" s="1"/>
  <c r="AE21" i="2"/>
  <c r="AA41" i="15" s="1"/>
  <c r="Q21" i="2"/>
  <c r="Y21" i="2"/>
  <c r="U41" i="15" s="1"/>
  <c r="U21" i="2"/>
  <c r="Q41" i="15" s="1"/>
  <c r="L21" i="2"/>
  <c r="B328" i="19"/>
  <c r="F94" i="32"/>
  <c r="F109" i="56"/>
  <c r="G109" i="56"/>
  <c r="C43" i="32"/>
  <c r="C58" i="56"/>
  <c r="B320" i="19"/>
  <c r="C62" i="56"/>
  <c r="B35" i="12"/>
  <c r="C64" i="56"/>
  <c r="F35" i="1"/>
  <c r="G21" i="32"/>
  <c r="G20" i="32"/>
  <c r="E175" i="19"/>
  <c r="E174" i="19"/>
  <c r="D2" i="15"/>
  <c r="F343" i="19" s="1"/>
  <c r="D44" i="51"/>
  <c r="AE47" i="7"/>
  <c r="AO21" i="2"/>
  <c r="AK41" i="15" s="1"/>
  <c r="AN18" i="13"/>
  <c r="AM21" i="2"/>
  <c r="AI41" i="15" s="1"/>
  <c r="AC21" i="2"/>
  <c r="Y41" i="15" s="1"/>
  <c r="AA21" i="2"/>
  <c r="W41" i="15" s="1"/>
  <c r="M21" i="2"/>
  <c r="I41" i="15" s="1"/>
  <c r="E397" i="19" s="1"/>
  <c r="N21" i="2"/>
  <c r="J41" i="15" s="1"/>
  <c r="F397" i="19" s="1"/>
  <c r="J21" i="2"/>
  <c r="D5" i="6"/>
  <c r="AE55" i="7"/>
  <c r="AE49" i="7"/>
  <c r="AE56" i="7"/>
  <c r="AE52" i="7"/>
  <c r="AE57" i="7"/>
  <c r="AE53" i="7"/>
  <c r="AE50" i="7"/>
  <c r="AE54" i="7"/>
  <c r="AE51" i="7"/>
  <c r="F16" i="2"/>
  <c r="H145" i="19" s="1"/>
  <c r="H3" i="2"/>
  <c r="I3" i="2" s="1"/>
  <c r="J3" i="2" s="1"/>
  <c r="K3" i="2" s="1"/>
  <c r="L3" i="2" s="1"/>
  <c r="M3" i="2" s="1"/>
  <c r="N3" i="2" s="1"/>
  <c r="O3" i="2" s="1"/>
  <c r="P3" i="2" s="1"/>
  <c r="Q3" i="2" s="1"/>
  <c r="R3" i="2" s="1"/>
  <c r="S3" i="2" s="1"/>
  <c r="G1" i="2"/>
  <c r="G19" i="32"/>
  <c r="E370" i="43"/>
  <c r="W31" i="43"/>
  <c r="T19" i="7"/>
  <c r="AG19" i="7" s="1"/>
  <c r="T5" i="7"/>
  <c r="T6" i="7"/>
  <c r="E4" i="7"/>
  <c r="E22" i="7" s="1"/>
  <c r="B14" i="7"/>
  <c r="D20" i="2"/>
  <c r="G20" i="2" s="1"/>
  <c r="F13" i="2"/>
  <c r="H142" i="19" s="1"/>
  <c r="F15" i="2"/>
  <c r="H144" i="19" s="1"/>
  <c r="A80" i="9"/>
  <c r="A145" i="9"/>
  <c r="A31" i="9"/>
  <c r="A161" i="9" s="1"/>
  <c r="A47" i="9"/>
  <c r="A128" i="9"/>
  <c r="A63" i="9"/>
  <c r="A96" i="9"/>
  <c r="B15" i="7"/>
  <c r="B13" i="7"/>
  <c r="A139" i="9"/>
  <c r="A57" i="9"/>
  <c r="A25" i="9"/>
  <c r="A155" i="9" s="1"/>
  <c r="A41" i="9"/>
  <c r="A74" i="9"/>
  <c r="A90" i="9"/>
  <c r="A122" i="9"/>
  <c r="G142" i="19"/>
  <c r="A146" i="9"/>
  <c r="A64" i="9"/>
  <c r="A129" i="9"/>
  <c r="A97" i="9"/>
  <c r="A81" i="9"/>
  <c r="A32" i="9"/>
  <c r="A162" i="9" s="1"/>
  <c r="A48" i="9"/>
  <c r="A79" i="9"/>
  <c r="A95" i="9"/>
  <c r="A144" i="9"/>
  <c r="A62" i="9"/>
  <c r="A127" i="9"/>
  <c r="A30" i="9"/>
  <c r="A160" i="9" s="1"/>
  <c r="A46" i="9"/>
  <c r="A75" i="9"/>
  <c r="A91" i="9"/>
  <c r="A140" i="9"/>
  <c r="A58" i="9"/>
  <c r="A123" i="9"/>
  <c r="A26" i="9"/>
  <c r="A156" i="9" s="1"/>
  <c r="A42" i="9"/>
  <c r="B10" i="7"/>
  <c r="A42" i="43"/>
  <c r="B42" i="43" s="1"/>
  <c r="C41" i="43"/>
  <c r="D41" i="43" s="1"/>
  <c r="D22" i="15"/>
  <c r="T10" i="7"/>
  <c r="AG10" i="7" s="1"/>
  <c r="C10" i="15"/>
  <c r="G5" i="13"/>
  <c r="T14" i="7"/>
  <c r="AG14" i="7" s="1"/>
  <c r="B9" i="7"/>
  <c r="A54" i="9"/>
  <c r="A87" i="9"/>
  <c r="A136" i="9"/>
  <c r="A71" i="9"/>
  <c r="A119" i="9"/>
  <c r="A22" i="9"/>
  <c r="A152" i="9" s="1"/>
  <c r="A38" i="9"/>
  <c r="A135" i="9"/>
  <c r="A37" i="9"/>
  <c r="A53" i="9"/>
  <c r="A21" i="9"/>
  <c r="A151" i="9" s="1"/>
  <c r="A70" i="9"/>
  <c r="A86" i="9"/>
  <c r="A118" i="9"/>
  <c r="B6" i="7"/>
  <c r="A68" i="9"/>
  <c r="A35" i="9"/>
  <c r="A133" i="9"/>
  <c r="A19" i="9"/>
  <c r="A149" i="9" s="1"/>
  <c r="A51" i="9"/>
  <c r="A84" i="9"/>
  <c r="A116" i="9"/>
  <c r="U2" i="7"/>
  <c r="U5" i="7" s="1"/>
  <c r="T8" i="7"/>
  <c r="T46" i="7" s="1"/>
  <c r="U5" i="9" s="1"/>
  <c r="T12" i="7"/>
  <c r="T16" i="7"/>
  <c r="AG16" i="7" s="1"/>
  <c r="G132" i="9"/>
  <c r="G67" i="9"/>
  <c r="G34" i="9"/>
  <c r="G18" i="9"/>
  <c r="G50" i="9" s="1"/>
  <c r="G136" i="9"/>
  <c r="G153" i="9" s="1"/>
  <c r="G71" i="9"/>
  <c r="G22" i="9"/>
  <c r="G54" i="9" s="1"/>
  <c r="G38" i="9"/>
  <c r="G134" i="9"/>
  <c r="G151" i="9" s="1"/>
  <c r="G69" i="9"/>
  <c r="G20" i="9"/>
  <c r="G52" i="9" s="1"/>
  <c r="G36" i="9"/>
  <c r="G137" i="9"/>
  <c r="G154" i="9" s="1"/>
  <c r="G72" i="9"/>
  <c r="G23" i="9"/>
  <c r="G55" i="9" s="1"/>
  <c r="G39" i="9"/>
  <c r="G135" i="9"/>
  <c r="G152" i="9" s="1"/>
  <c r="G70" i="9"/>
  <c r="G21" i="9"/>
  <c r="G53" i="9" s="1"/>
  <c r="G37" i="9"/>
  <c r="G133" i="9"/>
  <c r="G150" i="9" s="1"/>
  <c r="G68" i="9"/>
  <c r="G19" i="9"/>
  <c r="G51" i="9" s="1"/>
  <c r="G35" i="9"/>
  <c r="S135" i="9"/>
  <c r="S152" i="9" s="1"/>
  <c r="S70" i="9"/>
  <c r="S37" i="9"/>
  <c r="G138" i="9"/>
  <c r="G73" i="9"/>
  <c r="G17" i="9"/>
  <c r="D4" i="8" s="1"/>
  <c r="G24" i="9"/>
  <c r="G40" i="9"/>
  <c r="G140" i="9"/>
  <c r="G157" i="9" s="1"/>
  <c r="G75" i="9"/>
  <c r="G26" i="9"/>
  <c r="G58" i="9" s="1"/>
  <c r="G42" i="9"/>
  <c r="G142" i="9"/>
  <c r="G159" i="9" s="1"/>
  <c r="G77" i="9"/>
  <c r="G28" i="9"/>
  <c r="G60" i="9" s="1"/>
  <c r="G44" i="9"/>
  <c r="G144" i="9"/>
  <c r="G161" i="9" s="1"/>
  <c r="G79" i="9"/>
  <c r="G30" i="9"/>
  <c r="G62" i="9" s="1"/>
  <c r="G46" i="9"/>
  <c r="G146" i="9"/>
  <c r="G81" i="9"/>
  <c r="G32" i="9"/>
  <c r="G64" i="9" s="1"/>
  <c r="G48" i="9"/>
  <c r="G74" i="9"/>
  <c r="G139" i="9"/>
  <c r="G156" i="9" s="1"/>
  <c r="G25" i="9"/>
  <c r="G57" i="9" s="1"/>
  <c r="G41" i="9"/>
  <c r="G141" i="9"/>
  <c r="G158" i="9" s="1"/>
  <c r="G76" i="9"/>
  <c r="G27" i="9"/>
  <c r="G59" i="9" s="1"/>
  <c r="G43" i="9"/>
  <c r="G143" i="9"/>
  <c r="G160" i="9" s="1"/>
  <c r="G78" i="9"/>
  <c r="G29" i="9"/>
  <c r="G61" i="9" s="1"/>
  <c r="G45" i="9"/>
  <c r="G145" i="9"/>
  <c r="G162" i="9" s="1"/>
  <c r="G80" i="9"/>
  <c r="G31" i="9"/>
  <c r="G63" i="9" s="1"/>
  <c r="G47" i="9"/>
  <c r="B12" i="7"/>
  <c r="G51" i="13"/>
  <c r="D11" i="8"/>
  <c r="F30" i="8"/>
  <c r="D28" i="11"/>
  <c r="D29" i="15" s="1"/>
  <c r="F29" i="8"/>
  <c r="D27" i="11"/>
  <c r="D28" i="15" s="1"/>
  <c r="F31" i="8"/>
  <c r="D29" i="11"/>
  <c r="D30" i="15" s="1"/>
  <c r="B323" i="19"/>
  <c r="C51" i="32"/>
  <c r="C52" i="32"/>
  <c r="H344" i="19"/>
  <c r="G375" i="19"/>
  <c r="L3" i="15"/>
  <c r="J344" i="19"/>
  <c r="E375" i="19"/>
  <c r="J3" i="15"/>
  <c r="I375" i="19"/>
  <c r="J375" i="19"/>
  <c r="M41" i="15"/>
  <c r="I397" i="19" s="1"/>
  <c r="H41" i="15"/>
  <c r="J366" i="19" s="1"/>
  <c r="F41" i="15"/>
  <c r="H366" i="19" s="1"/>
  <c r="L41" i="15"/>
  <c r="H397" i="19" s="1"/>
  <c r="N41" i="15"/>
  <c r="J397" i="19" s="1"/>
  <c r="E41" i="15"/>
  <c r="G366" i="19" s="1"/>
  <c r="G41" i="15"/>
  <c r="I366" i="19" s="1"/>
  <c r="B316" i="19"/>
  <c r="B8" i="15"/>
  <c r="B7" i="7"/>
  <c r="B11" i="7"/>
  <c r="B5" i="12"/>
  <c r="C57" i="56" s="1"/>
  <c r="F28" i="8"/>
  <c r="E26" i="11" s="1"/>
  <c r="E27" i="15" s="1"/>
  <c r="F26" i="8"/>
  <c r="E24" i="11" s="1"/>
  <c r="E25" i="15" s="1"/>
  <c r="E10" i="8"/>
  <c r="E271" i="19"/>
  <c r="AC10" i="8"/>
  <c r="E17" i="11"/>
  <c r="E18" i="15" s="1"/>
  <c r="E19" i="11"/>
  <c r="E20" i="15" s="1"/>
  <c r="E21" i="11"/>
  <c r="E22" i="15" s="1"/>
  <c r="F25" i="8"/>
  <c r="E23" i="11" s="1"/>
  <c r="E24" i="15" s="1"/>
  <c r="F27" i="8"/>
  <c r="E25" i="11" s="1"/>
  <c r="E26" i="15" s="1"/>
  <c r="Q10" i="8"/>
  <c r="B12" i="15"/>
  <c r="E18" i="11"/>
  <c r="E19" i="15" s="1"/>
  <c r="E20" i="11"/>
  <c r="E21" i="15" s="1"/>
  <c r="F24" i="8"/>
  <c r="E22" i="11" s="1"/>
  <c r="E23" i="15" s="1"/>
  <c r="I14" i="11"/>
  <c r="I15" i="15" s="1"/>
  <c r="I16" i="11"/>
  <c r="I17" i="15" s="1"/>
  <c r="T11" i="11"/>
  <c r="AE12" i="11"/>
  <c r="AE13" i="15" s="1"/>
  <c r="I13" i="11"/>
  <c r="I14" i="15" s="1"/>
  <c r="I15" i="11"/>
  <c r="I16" i="15" s="1"/>
  <c r="F274" i="19"/>
  <c r="F356" i="19"/>
  <c r="B5" i="18"/>
  <c r="B235" i="19" s="1"/>
  <c r="B14" i="15"/>
  <c r="G94" i="32"/>
  <c r="H6" i="13"/>
  <c r="D12" i="15" s="1"/>
  <c r="G3" i="13"/>
  <c r="E262" i="19"/>
  <c r="Q11" i="7"/>
  <c r="R49" i="7" s="1"/>
  <c r="S8" i="9" s="1"/>
  <c r="Q12" i="7"/>
  <c r="R50" i="7" s="1"/>
  <c r="S9" i="9" s="1"/>
  <c r="AQ25" i="9"/>
  <c r="AQ26" i="9"/>
  <c r="Q14" i="7"/>
  <c r="R52" i="7" s="1"/>
  <c r="S11" i="9" s="1"/>
  <c r="AQ27" i="9"/>
  <c r="Q15" i="7"/>
  <c r="R53" i="7" s="1"/>
  <c r="S12" i="9" s="1"/>
  <c r="AR29" i="9"/>
  <c r="AQ29" i="9"/>
  <c r="AR31" i="9"/>
  <c r="AQ31" i="9"/>
  <c r="AR92" i="9"/>
  <c r="AQ92" i="9"/>
  <c r="AR94" i="9"/>
  <c r="AQ94" i="9"/>
  <c r="AR96" i="9"/>
  <c r="AQ96" i="9"/>
  <c r="Q13" i="7"/>
  <c r="R51" i="7" s="1"/>
  <c r="S10" i="9" s="1"/>
  <c r="Q17" i="7"/>
  <c r="R55" i="7" s="1"/>
  <c r="S14" i="9" s="1"/>
  <c r="Q19" i="7"/>
  <c r="R57" i="7" s="1"/>
  <c r="S16" i="9" s="1"/>
  <c r="AQ90" i="9"/>
  <c r="AQ30" i="9"/>
  <c r="AR30" i="9"/>
  <c r="AR32" i="9"/>
  <c r="AQ32" i="9"/>
  <c r="AR91" i="9"/>
  <c r="AQ91" i="9"/>
  <c r="AR93" i="9"/>
  <c r="AQ93" i="9"/>
  <c r="AR95" i="9"/>
  <c r="AQ95" i="9"/>
  <c r="AR97" i="9"/>
  <c r="AQ97" i="9"/>
  <c r="Q9" i="7"/>
  <c r="R47" i="7" s="1"/>
  <c r="S6" i="9" s="1"/>
  <c r="S136" i="9" s="1"/>
  <c r="S153" i="9" s="1"/>
  <c r="Q16" i="7"/>
  <c r="R54" i="7" s="1"/>
  <c r="S13" i="9" s="1"/>
  <c r="Q18" i="7"/>
  <c r="R56" i="7" s="1"/>
  <c r="S15" i="9" s="1"/>
  <c r="AQ86" i="9"/>
  <c r="AQ87" i="9"/>
  <c r="AR22" i="9"/>
  <c r="Q10" i="7"/>
  <c r="R48" i="7" s="1"/>
  <c r="S7" i="9" s="1"/>
  <c r="AQ23" i="9"/>
  <c r="AQ24" i="9"/>
  <c r="AQ89" i="9"/>
  <c r="O27" i="41"/>
  <c r="AQ88" i="9"/>
  <c r="AD10" i="7"/>
  <c r="AE14" i="9"/>
  <c r="AF11" i="7"/>
  <c r="AD5" i="7"/>
  <c r="Q5" i="7"/>
  <c r="S43" i="7" s="1"/>
  <c r="T2" i="9" s="1"/>
  <c r="B272" i="19"/>
  <c r="B297" i="19" s="1"/>
  <c r="P27" i="41"/>
  <c r="AF9" i="7"/>
  <c r="AF47" i="7" s="1"/>
  <c r="H57" i="7"/>
  <c r="J16" i="9" s="1"/>
  <c r="H56" i="7"/>
  <c r="J15" i="9" s="1"/>
  <c r="H55" i="7"/>
  <c r="J14" i="9" s="1"/>
  <c r="H54" i="7"/>
  <c r="J13" i="9" s="1"/>
  <c r="H53" i="7"/>
  <c r="J12" i="9" s="1"/>
  <c r="H52" i="7"/>
  <c r="J11" i="9" s="1"/>
  <c r="H51" i="7"/>
  <c r="J10" i="9" s="1"/>
  <c r="H50" i="7"/>
  <c r="J9" i="9" s="1"/>
  <c r="H49" i="7"/>
  <c r="J8" i="9" s="1"/>
  <c r="H48" i="7"/>
  <c r="J7" i="9" s="1"/>
  <c r="H47" i="7"/>
  <c r="J6" i="9" s="1"/>
  <c r="H46" i="7"/>
  <c r="J5" i="9" s="1"/>
  <c r="H45" i="7"/>
  <c r="J4" i="9" s="1"/>
  <c r="H44" i="7"/>
  <c r="J3" i="9" s="1"/>
  <c r="H43" i="7"/>
  <c r="J2" i="9" s="1"/>
  <c r="I40" i="7"/>
  <c r="F4" i="7"/>
  <c r="F22" i="7" s="1"/>
  <c r="F57" i="7"/>
  <c r="H16" i="9" s="1"/>
  <c r="F56" i="7"/>
  <c r="H15" i="9" s="1"/>
  <c r="F55" i="7"/>
  <c r="H14" i="9" s="1"/>
  <c r="F54" i="7"/>
  <c r="H13" i="9" s="1"/>
  <c r="F53" i="7"/>
  <c r="H12" i="9" s="1"/>
  <c r="F52" i="7"/>
  <c r="H11" i="9" s="1"/>
  <c r="F51" i="7"/>
  <c r="H10" i="9" s="1"/>
  <c r="F50" i="7"/>
  <c r="H9" i="9" s="1"/>
  <c r="F49" i="7"/>
  <c r="H8" i="9" s="1"/>
  <c r="F48" i="7"/>
  <c r="H7" i="9" s="1"/>
  <c r="F47" i="7"/>
  <c r="H6" i="9" s="1"/>
  <c r="F46" i="7"/>
  <c r="H5" i="9" s="1"/>
  <c r="F45" i="7"/>
  <c r="H4" i="9" s="1"/>
  <c r="F44" i="7"/>
  <c r="H3" i="9" s="1"/>
  <c r="F43" i="7"/>
  <c r="H2" i="9" s="1"/>
  <c r="H132" i="9" s="1"/>
  <c r="H149" i="9" s="1"/>
  <c r="AF12" i="7"/>
  <c r="AF8" i="7"/>
  <c r="S46" i="7"/>
  <c r="T5" i="9" s="1"/>
  <c r="AF17" i="7"/>
  <c r="AF19" i="7"/>
  <c r="T9" i="7"/>
  <c r="T11" i="7"/>
  <c r="T13" i="7"/>
  <c r="T15" i="7"/>
  <c r="T17" i="7"/>
  <c r="AF13" i="7"/>
  <c r="AF6" i="7"/>
  <c r="G57" i="7"/>
  <c r="I16" i="9" s="1"/>
  <c r="G56" i="7"/>
  <c r="I15" i="9" s="1"/>
  <c r="G55" i="7"/>
  <c r="I14" i="9" s="1"/>
  <c r="G54" i="7"/>
  <c r="I13" i="9" s="1"/>
  <c r="G53" i="7"/>
  <c r="I12" i="9" s="1"/>
  <c r="G52" i="7"/>
  <c r="I11" i="9" s="1"/>
  <c r="G51" i="7"/>
  <c r="I10" i="9" s="1"/>
  <c r="G50" i="7"/>
  <c r="I9" i="9" s="1"/>
  <c r="G49" i="7"/>
  <c r="I8" i="9" s="1"/>
  <c r="G48" i="7"/>
  <c r="I7" i="9" s="1"/>
  <c r="G47" i="7"/>
  <c r="I6" i="9" s="1"/>
  <c r="G46" i="7"/>
  <c r="I5" i="9" s="1"/>
  <c r="G45" i="7"/>
  <c r="I4" i="9" s="1"/>
  <c r="G44" i="7"/>
  <c r="I3" i="9" s="1"/>
  <c r="G43" i="7"/>
  <c r="I2" i="9" s="1"/>
  <c r="AF14" i="7"/>
  <c r="AF10" i="7"/>
  <c r="AF48" i="7" s="1"/>
  <c r="U6" i="7"/>
  <c r="AF16" i="7"/>
  <c r="S54" i="7"/>
  <c r="T13" i="9" s="1"/>
  <c r="AF18" i="7"/>
  <c r="AF56" i="7" s="1"/>
  <c r="AG8" i="7"/>
  <c r="T48" i="7"/>
  <c r="U7" i="9" s="1"/>
  <c r="AG12" i="7"/>
  <c r="T54" i="7"/>
  <c r="U13" i="9" s="1"/>
  <c r="AG18" i="7"/>
  <c r="T56" i="7"/>
  <c r="U15" i="9" s="1"/>
  <c r="T7" i="7"/>
  <c r="AF7" i="7"/>
  <c r="S45" i="7"/>
  <c r="T4" i="9" s="1"/>
  <c r="AF5" i="7"/>
  <c r="AE9" i="9"/>
  <c r="AE11" i="9"/>
  <c r="AE13" i="9"/>
  <c r="AF15" i="9"/>
  <c r="AE15" i="9"/>
  <c r="B8" i="7"/>
  <c r="AF15" i="7"/>
  <c r="C50" i="32"/>
  <c r="AE8" i="9"/>
  <c r="AE10" i="9"/>
  <c r="AE16" i="9"/>
  <c r="AE6" i="9"/>
  <c r="AF6" i="9"/>
  <c r="AE12" i="9"/>
  <c r="J103" i="22"/>
  <c r="D12" i="8" s="1"/>
  <c r="F17" i="2"/>
  <c r="H146" i="19" s="1"/>
  <c r="F19" i="2"/>
  <c r="H148" i="19" s="1"/>
  <c r="B324" i="19"/>
  <c r="B270" i="19"/>
  <c r="B295" i="19" s="1"/>
  <c r="B352" i="19"/>
  <c r="B383" i="19" s="1"/>
  <c r="B322" i="19"/>
  <c r="B10" i="15"/>
  <c r="B269" i="19"/>
  <c r="B294" i="19" s="1"/>
  <c r="E274" i="19"/>
  <c r="E356" i="19"/>
  <c r="C47" i="32"/>
  <c r="B321" i="19"/>
  <c r="C48" i="32"/>
  <c r="E357" i="19"/>
  <c r="E275" i="19"/>
  <c r="J12" i="34"/>
  <c r="J13" i="34" s="1"/>
  <c r="J14" i="34" s="1"/>
  <c r="J15" i="34" s="1"/>
  <c r="J16" i="34" s="1"/>
  <c r="J17" i="34" s="1"/>
  <c r="J18" i="34" s="1"/>
  <c r="J19" i="34" s="1"/>
  <c r="J20" i="34" s="1"/>
  <c r="J21" i="34" s="1"/>
  <c r="J22" i="34" s="1"/>
  <c r="J23" i="34" s="1"/>
  <c r="J24" i="34" s="1"/>
  <c r="J25" i="34" s="1"/>
  <c r="J26" i="34" s="1"/>
  <c r="J27" i="34" s="1"/>
  <c r="J28" i="34" s="1"/>
  <c r="J29" i="34" s="1"/>
  <c r="J30" i="34" s="1"/>
  <c r="J31" i="34" s="1"/>
  <c r="J32" i="34" s="1"/>
  <c r="J33" i="34" s="1"/>
  <c r="J34" i="34" s="1"/>
  <c r="J35" i="34" s="1"/>
  <c r="J36" i="34" s="1"/>
  <c r="J37" i="34" s="1"/>
  <c r="J38" i="34" s="1"/>
  <c r="J39" i="34" s="1"/>
  <c r="J40" i="34" s="1"/>
  <c r="J41" i="34" s="1"/>
  <c r="J42" i="34" s="1"/>
  <c r="J43" i="34" s="1"/>
  <c r="J44" i="34" s="1"/>
  <c r="J45" i="34" s="1"/>
  <c r="J46" i="34" s="1"/>
  <c r="J47" i="34" s="1"/>
  <c r="J48" i="34" s="1"/>
  <c r="J49" i="34" s="1"/>
  <c r="J50" i="34" s="1"/>
  <c r="J51" i="34" s="1"/>
  <c r="J52" i="34" s="1"/>
  <c r="J53" i="34" s="1"/>
  <c r="J54" i="34" s="1"/>
  <c r="J55" i="34" s="1"/>
  <c r="J56" i="34" s="1"/>
  <c r="J57" i="34" s="1"/>
  <c r="J58" i="34" s="1"/>
  <c r="J59" i="34" s="1"/>
  <c r="J60" i="34" s="1"/>
  <c r="J61" i="34" s="1"/>
  <c r="J62" i="34" s="1"/>
  <c r="J63" i="34" s="1"/>
  <c r="J64" i="34" s="1"/>
  <c r="J65" i="34" s="1"/>
  <c r="J66" i="34" s="1"/>
  <c r="J67" i="34" s="1"/>
  <c r="J68" i="34" s="1"/>
  <c r="J69" i="34" s="1"/>
  <c r="J70" i="34" s="1"/>
  <c r="J71" i="34" s="1"/>
  <c r="J72" i="34" s="1"/>
  <c r="J73" i="34" s="1"/>
  <c r="J74" i="34" s="1"/>
  <c r="J75" i="34" s="1"/>
  <c r="J76" i="34" s="1"/>
  <c r="J77" i="34" s="1"/>
  <c r="J78" i="34" s="1"/>
  <c r="J79" i="34" s="1"/>
  <c r="J80" i="34" s="1"/>
  <c r="J81" i="34" s="1"/>
  <c r="J82" i="34" s="1"/>
  <c r="J83" i="34" s="1"/>
  <c r="J84" i="34" s="1"/>
  <c r="J85" i="34" s="1"/>
  <c r="J86" i="34" s="1"/>
  <c r="J87" i="34" s="1"/>
  <c r="J88" i="34" s="1"/>
  <c r="J89" i="34" s="1"/>
  <c r="J90" i="34" s="1"/>
  <c r="J91" i="34" s="1"/>
  <c r="J92" i="34" s="1"/>
  <c r="J93" i="34" s="1"/>
  <c r="J94" i="34" s="1"/>
  <c r="J95" i="34" s="1"/>
  <c r="J96" i="34" s="1"/>
  <c r="J97" i="34" s="1"/>
  <c r="J98" i="34" s="1"/>
  <c r="J99" i="34" s="1"/>
  <c r="J100" i="34" s="1"/>
  <c r="J101" i="34" s="1"/>
  <c r="J102" i="34" s="1"/>
  <c r="J103" i="34" s="1"/>
  <c r="J104" i="34" s="1"/>
  <c r="J105" i="34" s="1"/>
  <c r="J106" i="34" s="1"/>
  <c r="J107" i="34" s="1"/>
  <c r="J108" i="34" s="1"/>
  <c r="J109" i="34" s="1"/>
  <c r="J110" i="34" s="1"/>
  <c r="J111" i="34" s="1"/>
  <c r="J112" i="34" s="1"/>
  <c r="J113" i="34" s="1"/>
  <c r="J114" i="34" s="1"/>
  <c r="J115" i="34" s="1"/>
  <c r="J116" i="34" s="1"/>
  <c r="J117" i="34" s="1"/>
  <c r="J118" i="34" s="1"/>
  <c r="J119" i="34" s="1"/>
  <c r="J120" i="34" s="1"/>
  <c r="J121" i="34" s="1"/>
  <c r="J122" i="34" s="1"/>
  <c r="J123" i="34" s="1"/>
  <c r="J124" i="34" s="1"/>
  <c r="J125" i="34" s="1"/>
  <c r="J126" i="34" s="1"/>
  <c r="J127" i="34" s="1"/>
  <c r="J128" i="34" s="1"/>
  <c r="J129" i="34" s="1"/>
  <c r="J130" i="34" s="1"/>
  <c r="J131" i="34" s="1"/>
  <c r="J132" i="34" s="1"/>
  <c r="J133" i="34" s="1"/>
  <c r="J134" i="34" s="1"/>
  <c r="J135" i="34" s="1"/>
  <c r="J136" i="34" s="1"/>
  <c r="J137" i="34" s="1"/>
  <c r="J138" i="34" s="1"/>
  <c r="J139" i="34" s="1"/>
  <c r="J140" i="34" s="1"/>
  <c r="J141" i="34" s="1"/>
  <c r="J142" i="34" s="1"/>
  <c r="J143" i="34" s="1"/>
  <c r="J144" i="34" s="1"/>
  <c r="J145" i="34" s="1"/>
  <c r="J146" i="34" s="1"/>
  <c r="J147" i="34" s="1"/>
  <c r="J148" i="34" s="1"/>
  <c r="J149" i="34" s="1"/>
  <c r="J150" i="34" s="1"/>
  <c r="J151" i="34" s="1"/>
  <c r="J152" i="34" s="1"/>
  <c r="J153" i="34" s="1"/>
  <c r="J154" i="34" s="1"/>
  <c r="J155" i="34" s="1"/>
  <c r="J156" i="34" s="1"/>
  <c r="J157" i="34" s="1"/>
  <c r="J158" i="34" s="1"/>
  <c r="J159" i="34" s="1"/>
  <c r="J160" i="34" s="1"/>
  <c r="J161" i="34" s="1"/>
  <c r="J162" i="34" s="1"/>
  <c r="J163" i="34" s="1"/>
  <c r="J164" i="34" s="1"/>
  <c r="J165" i="34" s="1"/>
  <c r="J166" i="34" s="1"/>
  <c r="J167" i="34" s="1"/>
  <c r="J168" i="34" s="1"/>
  <c r="J169" i="34" s="1"/>
  <c r="J170" i="34" s="1"/>
  <c r="J171" i="34" s="1"/>
  <c r="J172" i="34" s="1"/>
  <c r="J173" i="34" s="1"/>
  <c r="J174" i="34" s="1"/>
  <c r="J175" i="34" s="1"/>
  <c r="J176" i="34" s="1"/>
  <c r="J177" i="34" s="1"/>
  <c r="J178" i="34" s="1"/>
  <c r="J179" i="34" s="1"/>
  <c r="J180" i="34" s="1"/>
  <c r="J181" i="34" s="1"/>
  <c r="J182" i="34" s="1"/>
  <c r="J183" i="34" s="1"/>
  <c r="J184" i="34" s="1"/>
  <c r="J185" i="34" s="1"/>
  <c r="J186" i="34" s="1"/>
  <c r="J187" i="34" s="1"/>
  <c r="J188" i="34" s="1"/>
  <c r="J189" i="34" s="1"/>
  <c r="J190" i="34" s="1"/>
  <c r="J191" i="34" s="1"/>
  <c r="F14" i="2"/>
  <c r="H143" i="19" s="1"/>
  <c r="F12" i="2"/>
  <c r="H141" i="19" s="1"/>
  <c r="E353" i="19"/>
  <c r="B5" i="7"/>
  <c r="B325" i="19"/>
  <c r="B36" i="12"/>
  <c r="H176" i="19"/>
  <c r="AE4" i="9"/>
  <c r="Q6" i="7"/>
  <c r="R44" i="7" s="1"/>
  <c r="S3" i="9" s="1"/>
  <c r="AE3" i="9"/>
  <c r="E58" i="7"/>
  <c r="C49" i="32"/>
  <c r="B15" i="15"/>
  <c r="AQ85" i="9"/>
  <c r="F344" i="19"/>
  <c r="H1" i="9"/>
  <c r="H2" i="13" s="1"/>
  <c r="H3" i="13" s="1"/>
  <c r="B354" i="19"/>
  <c r="B385" i="19" s="1"/>
  <c r="K69" i="22"/>
  <c r="H5" i="13"/>
  <c r="I6" i="13"/>
  <c r="E12" i="15" s="1"/>
  <c r="AD8" i="7"/>
  <c r="AE46" i="7" s="1"/>
  <c r="G42" i="7"/>
  <c r="G371" i="43" s="1"/>
  <c r="Y31" i="43" s="1"/>
  <c r="V2" i="7"/>
  <c r="F262" i="19"/>
  <c r="F2" i="11"/>
  <c r="E343" i="19"/>
  <c r="C1" i="51" l="1"/>
  <c r="E39" i="56" s="1"/>
  <c r="F1" i="51"/>
  <c r="H39" i="56" s="1"/>
  <c r="B1" i="51"/>
  <c r="D39" i="56" s="1"/>
  <c r="D1" i="51"/>
  <c r="F39" i="56" s="1"/>
  <c r="G22" i="32"/>
  <c r="H22" i="56"/>
  <c r="D118" i="32"/>
  <c r="C42" i="32"/>
  <c r="G28" i="8"/>
  <c r="F26" i="11" s="1"/>
  <c r="F27" i="15" s="1"/>
  <c r="E2" i="15"/>
  <c r="E44" i="51"/>
  <c r="AE48" i="7"/>
  <c r="AE7" i="9" s="1"/>
  <c r="AG48" i="7"/>
  <c r="AG46" i="7"/>
  <c r="AG5" i="9" s="1"/>
  <c r="AF46" i="7"/>
  <c r="T3" i="2"/>
  <c r="U3" i="2" s="1"/>
  <c r="V3" i="2" s="1"/>
  <c r="W3" i="2" s="1"/>
  <c r="X3" i="2" s="1"/>
  <c r="Y3" i="2" s="1"/>
  <c r="Z3" i="2" s="1"/>
  <c r="AA3" i="2" s="1"/>
  <c r="AB3" i="2" s="1"/>
  <c r="AC3" i="2" s="1"/>
  <c r="AD3" i="2" s="1"/>
  <c r="AD1" i="2" s="1"/>
  <c r="S1" i="2"/>
  <c r="D1" i="10"/>
  <c r="R1" i="2"/>
  <c r="C2" i="12" s="1"/>
  <c r="E54" i="56" s="1"/>
  <c r="U9" i="7"/>
  <c r="U47" i="7" s="1"/>
  <c r="V6" i="9" s="1"/>
  <c r="V136" i="9" s="1"/>
  <c r="V153" i="9" s="1"/>
  <c r="AG56" i="7"/>
  <c r="AG15" i="9" s="1"/>
  <c r="AG50" i="7"/>
  <c r="AG9" i="9" s="1"/>
  <c r="AF52" i="7"/>
  <c r="AF11" i="9" s="1"/>
  <c r="AF44" i="7"/>
  <c r="AF3" i="9" s="1"/>
  <c r="AF55" i="7"/>
  <c r="AF14" i="9" s="1"/>
  <c r="AG52" i="7"/>
  <c r="AG11" i="9" s="1"/>
  <c r="U8" i="7"/>
  <c r="U46" i="7" s="1"/>
  <c r="V5" i="9" s="1"/>
  <c r="U16" i="7"/>
  <c r="U54" i="7" s="1"/>
  <c r="V13" i="9" s="1"/>
  <c r="AF53" i="7"/>
  <c r="AF12" i="9" s="1"/>
  <c r="AF45" i="7"/>
  <c r="AF4" i="9" s="1"/>
  <c r="AF54" i="7"/>
  <c r="AF13" i="9" s="1"/>
  <c r="AF51" i="7"/>
  <c r="AF10" i="9" s="1"/>
  <c r="AF57" i="7"/>
  <c r="AF16" i="9" s="1"/>
  <c r="AF50" i="7"/>
  <c r="AF9" i="9" s="1"/>
  <c r="AF49" i="7"/>
  <c r="AF8" i="9" s="1"/>
  <c r="AG54" i="7"/>
  <c r="AG13" i="9" s="1"/>
  <c r="AG57" i="7"/>
  <c r="AG16" i="9" s="1"/>
  <c r="AF43" i="7"/>
  <c r="AE43" i="7"/>
  <c r="R43" i="7"/>
  <c r="S2" i="9" s="1"/>
  <c r="G149" i="9"/>
  <c r="U12" i="7"/>
  <c r="U50" i="7" s="1"/>
  <c r="V9" i="9" s="1"/>
  <c r="U13" i="7"/>
  <c r="U51" i="7" s="1"/>
  <c r="V10" i="9" s="1"/>
  <c r="U18" i="7"/>
  <c r="U56" i="7" s="1"/>
  <c r="V15" i="9" s="1"/>
  <c r="V5" i="7"/>
  <c r="V7" i="7"/>
  <c r="AE133" i="9"/>
  <c r="AE68" i="9"/>
  <c r="AE134" i="9"/>
  <c r="AE151" i="9" s="1"/>
  <c r="AE69" i="9"/>
  <c r="AF136" i="9"/>
  <c r="AF71" i="9"/>
  <c r="AE146" i="9"/>
  <c r="AE81" i="9"/>
  <c r="AE138" i="9"/>
  <c r="AE155" i="9" s="1"/>
  <c r="AE73" i="9"/>
  <c r="AE145" i="9"/>
  <c r="AE162" i="9" s="1"/>
  <c r="AE80" i="9"/>
  <c r="AE143" i="9"/>
  <c r="AE160" i="9" s="1"/>
  <c r="AE78" i="9"/>
  <c r="AE139" i="9"/>
  <c r="AE156" i="9" s="1"/>
  <c r="AE74" i="9"/>
  <c r="AE144" i="9"/>
  <c r="AE161" i="9" s="1"/>
  <c r="AE79" i="9"/>
  <c r="AE142" i="9"/>
  <c r="AE159" i="9" s="1"/>
  <c r="AE77" i="9"/>
  <c r="AE136" i="9"/>
  <c r="AE71" i="9"/>
  <c r="AE140" i="9"/>
  <c r="AE157" i="9" s="1"/>
  <c r="AE75" i="9"/>
  <c r="AF145" i="9"/>
  <c r="AF162" i="9" s="1"/>
  <c r="AF80" i="9"/>
  <c r="AE141" i="9"/>
  <c r="AE158" i="9" s="1"/>
  <c r="AE76" i="9"/>
  <c r="S56" i="7"/>
  <c r="T15" i="9" s="1"/>
  <c r="A76" i="9"/>
  <c r="A141" i="9"/>
  <c r="A27" i="9"/>
  <c r="A157" i="9" s="1"/>
  <c r="A43" i="9"/>
  <c r="A124" i="9"/>
  <c r="A59" i="9"/>
  <c r="A92" i="9"/>
  <c r="AF7" i="9"/>
  <c r="AF23" i="9" s="1"/>
  <c r="AF55" i="9" s="1"/>
  <c r="S51" i="7"/>
  <c r="T10" i="9" s="1"/>
  <c r="T50" i="7"/>
  <c r="U9" i="9" s="1"/>
  <c r="T52" i="7"/>
  <c r="U11" i="9" s="1"/>
  <c r="A138" i="9"/>
  <c r="A56" i="9"/>
  <c r="A121" i="9"/>
  <c r="A89" i="9"/>
  <c r="A73" i="9"/>
  <c r="A24" i="9"/>
  <c r="A154" i="9" s="1"/>
  <c r="A40" i="9"/>
  <c r="A143" i="9"/>
  <c r="A29" i="9"/>
  <c r="A159" i="9" s="1"/>
  <c r="A45" i="9"/>
  <c r="A78" i="9"/>
  <c r="A61" i="9"/>
  <c r="A94" i="9"/>
  <c r="A126" i="9"/>
  <c r="A142" i="9"/>
  <c r="A60" i="9"/>
  <c r="A125" i="9"/>
  <c r="A93" i="9"/>
  <c r="A77" i="9"/>
  <c r="A28" i="9"/>
  <c r="A158" i="9" s="1"/>
  <c r="A44" i="9"/>
  <c r="A43" i="43"/>
  <c r="B43" i="43" s="1"/>
  <c r="C42" i="43"/>
  <c r="D42" i="43" s="1"/>
  <c r="H7" i="13"/>
  <c r="D36" i="15" s="1"/>
  <c r="G8" i="13"/>
  <c r="C37" i="15" s="1"/>
  <c r="G7" i="13"/>
  <c r="C36" i="15" s="1"/>
  <c r="U10" i="7"/>
  <c r="U48" i="7" s="1"/>
  <c r="V7" i="9" s="1"/>
  <c r="U14" i="7"/>
  <c r="AH14" i="7" s="1"/>
  <c r="U11" i="7"/>
  <c r="U49" i="7" s="1"/>
  <c r="V8" i="9" s="1"/>
  <c r="U15" i="7"/>
  <c r="AH15" i="7" s="1"/>
  <c r="U17" i="7"/>
  <c r="U55" i="7" s="1"/>
  <c r="V14" i="9" s="1"/>
  <c r="V144" i="9" s="1"/>
  <c r="V161" i="9" s="1"/>
  <c r="U19" i="7"/>
  <c r="AH19" i="7" s="1"/>
  <c r="U7" i="7"/>
  <c r="U45" i="7" s="1"/>
  <c r="V4" i="9" s="1"/>
  <c r="F357" i="19"/>
  <c r="F275" i="19"/>
  <c r="D10" i="15"/>
  <c r="A72" i="9"/>
  <c r="A55" i="9"/>
  <c r="A23" i="9"/>
  <c r="A153" i="9" s="1"/>
  <c r="A137" i="9"/>
  <c r="A39" i="9"/>
  <c r="A88" i="9"/>
  <c r="A120" i="9"/>
  <c r="A134" i="9"/>
  <c r="A117" i="9"/>
  <c r="A85" i="9"/>
  <c r="A69" i="9"/>
  <c r="A20" i="9"/>
  <c r="A150" i="9" s="1"/>
  <c r="A36" i="9"/>
  <c r="A52" i="9"/>
  <c r="S38" i="9"/>
  <c r="S71" i="9"/>
  <c r="S103" i="9" s="1"/>
  <c r="H34" i="9"/>
  <c r="H67" i="9"/>
  <c r="H83" i="9" s="1"/>
  <c r="H115" i="9" s="1"/>
  <c r="G99" i="9"/>
  <c r="G83" i="9"/>
  <c r="G115" i="9" s="1"/>
  <c r="H18" i="9"/>
  <c r="H50" i="9" s="1"/>
  <c r="AE29" i="9"/>
  <c r="AE61" i="9" s="1"/>
  <c r="AE45" i="9"/>
  <c r="AE25" i="9"/>
  <c r="AE57" i="9" s="1"/>
  <c r="AE41" i="9"/>
  <c r="AE32" i="9"/>
  <c r="AE64" i="9" s="1"/>
  <c r="AE48" i="9"/>
  <c r="AE30" i="9"/>
  <c r="AE62" i="9" s="1"/>
  <c r="AE46" i="9"/>
  <c r="AE26" i="9"/>
  <c r="AE58" i="9" s="1"/>
  <c r="AE42" i="9"/>
  <c r="I134" i="9"/>
  <c r="I151" i="9" s="1"/>
  <c r="I69" i="9"/>
  <c r="I36" i="9"/>
  <c r="I20" i="9"/>
  <c r="I52" i="9" s="1"/>
  <c r="I136" i="9"/>
  <c r="I153" i="9" s="1"/>
  <c r="I71" i="9"/>
  <c r="I38" i="9"/>
  <c r="I22" i="9"/>
  <c r="I54" i="9" s="1"/>
  <c r="AF31" i="9"/>
  <c r="AF63" i="9" s="1"/>
  <c r="AF47" i="9"/>
  <c r="H133" i="9"/>
  <c r="H150" i="9" s="1"/>
  <c r="H68" i="9"/>
  <c r="H19" i="9"/>
  <c r="H51" i="9" s="1"/>
  <c r="H35" i="9"/>
  <c r="H135" i="9"/>
  <c r="H152" i="9" s="1"/>
  <c r="H70" i="9"/>
  <c r="H21" i="9"/>
  <c r="H53" i="9" s="1"/>
  <c r="H37" i="9"/>
  <c r="H137" i="9"/>
  <c r="H154" i="9" s="1"/>
  <c r="H72" i="9"/>
  <c r="H23" i="9"/>
  <c r="H55" i="9" s="1"/>
  <c r="H39" i="9"/>
  <c r="J133" i="9"/>
  <c r="J150" i="9" s="1"/>
  <c r="J68" i="9"/>
  <c r="J19" i="9"/>
  <c r="J51" i="9" s="1"/>
  <c r="J35" i="9"/>
  <c r="J135" i="9"/>
  <c r="J152" i="9" s="1"/>
  <c r="J70" i="9"/>
  <c r="J21" i="9"/>
  <c r="J53" i="9" s="1"/>
  <c r="J37" i="9"/>
  <c r="J137" i="9"/>
  <c r="J154" i="9" s="1"/>
  <c r="J72" i="9"/>
  <c r="J23" i="9"/>
  <c r="J55" i="9" s="1"/>
  <c r="J39" i="9"/>
  <c r="AE31" i="9"/>
  <c r="AE63" i="9" s="1"/>
  <c r="AE47" i="9"/>
  <c r="AE24" i="9"/>
  <c r="AE56" i="9" s="1"/>
  <c r="AE40" i="9"/>
  <c r="S137" i="9"/>
  <c r="S154" i="9" s="1"/>
  <c r="S72" i="9"/>
  <c r="S23" i="9"/>
  <c r="S55" i="9" s="1"/>
  <c r="S39" i="9"/>
  <c r="S102" i="9"/>
  <c r="G84" i="9"/>
  <c r="G116" i="9" s="1"/>
  <c r="G100" i="9"/>
  <c r="T132" i="9"/>
  <c r="T149" i="9" s="1"/>
  <c r="T67" i="9"/>
  <c r="T34" i="9"/>
  <c r="G102" i="9"/>
  <c r="G86" i="9"/>
  <c r="G118" i="9" s="1"/>
  <c r="G104" i="9"/>
  <c r="G88" i="9"/>
  <c r="G120" i="9" s="1"/>
  <c r="G85" i="9"/>
  <c r="G117" i="9" s="1"/>
  <c r="G101" i="9"/>
  <c r="G103" i="9"/>
  <c r="G87" i="9"/>
  <c r="G119" i="9" s="1"/>
  <c r="AE36" i="9"/>
  <c r="G4" i="7"/>
  <c r="G22" i="7" s="1"/>
  <c r="S134" i="9"/>
  <c r="S151" i="9" s="1"/>
  <c r="S69" i="9"/>
  <c r="S36" i="9"/>
  <c r="AE27" i="9"/>
  <c r="AE59" i="9" s="1"/>
  <c r="AE43" i="9"/>
  <c r="AE28" i="9"/>
  <c r="AE60" i="9" s="1"/>
  <c r="AE44" i="9"/>
  <c r="T135" i="9"/>
  <c r="T152" i="9" s="1"/>
  <c r="T70" i="9"/>
  <c r="T21" i="9"/>
  <c r="T53" i="9" s="1"/>
  <c r="T37" i="9"/>
  <c r="I133" i="9"/>
  <c r="I150" i="9" s="1"/>
  <c r="I68" i="9"/>
  <c r="I19" i="9"/>
  <c r="I51" i="9" s="1"/>
  <c r="I35" i="9"/>
  <c r="I135" i="9"/>
  <c r="I152" i="9" s="1"/>
  <c r="I70" i="9"/>
  <c r="I21" i="9"/>
  <c r="I53" i="9" s="1"/>
  <c r="I37" i="9"/>
  <c r="I137" i="9"/>
  <c r="I154" i="9" s="1"/>
  <c r="I72" i="9"/>
  <c r="I23" i="9"/>
  <c r="I55" i="9" s="1"/>
  <c r="I39" i="9"/>
  <c r="H134" i="9"/>
  <c r="H151" i="9" s="1"/>
  <c r="H69" i="9"/>
  <c r="H20" i="9"/>
  <c r="H52" i="9" s="1"/>
  <c r="H36" i="9"/>
  <c r="H136" i="9"/>
  <c r="H153" i="9" s="1"/>
  <c r="H71" i="9"/>
  <c r="H22" i="9"/>
  <c r="H54" i="9" s="1"/>
  <c r="H38" i="9"/>
  <c r="J134" i="9"/>
  <c r="J151" i="9" s="1"/>
  <c r="J69" i="9"/>
  <c r="J20" i="9"/>
  <c r="J52" i="9" s="1"/>
  <c r="J36" i="9"/>
  <c r="J136" i="9"/>
  <c r="J153" i="9" s="1"/>
  <c r="J71" i="9"/>
  <c r="J22" i="9"/>
  <c r="J54" i="9" s="1"/>
  <c r="J38" i="9"/>
  <c r="S133" i="9"/>
  <c r="S150" i="9" s="1"/>
  <c r="S68" i="9"/>
  <c r="S35" i="9"/>
  <c r="I73" i="9"/>
  <c r="I138" i="9"/>
  <c r="I24" i="9"/>
  <c r="I17" i="9"/>
  <c r="I40" i="9"/>
  <c r="I140" i="9"/>
  <c r="I157" i="9" s="1"/>
  <c r="I75" i="9"/>
  <c r="I26" i="9"/>
  <c r="I58" i="9" s="1"/>
  <c r="I42" i="9"/>
  <c r="I142" i="9"/>
  <c r="I159" i="9" s="1"/>
  <c r="I77" i="9"/>
  <c r="I28" i="9"/>
  <c r="I60" i="9" s="1"/>
  <c r="I44" i="9"/>
  <c r="I144" i="9"/>
  <c r="I161" i="9" s="1"/>
  <c r="I79" i="9"/>
  <c r="I30" i="9"/>
  <c r="I62" i="9" s="1"/>
  <c r="I46" i="9"/>
  <c r="I146" i="9"/>
  <c r="I81" i="9"/>
  <c r="I32" i="9"/>
  <c r="I64" i="9" s="1"/>
  <c r="I48" i="9"/>
  <c r="H139" i="9"/>
  <c r="H156" i="9" s="1"/>
  <c r="H74" i="9"/>
  <c r="H25" i="9"/>
  <c r="H57" i="9" s="1"/>
  <c r="H41" i="9"/>
  <c r="H141" i="9"/>
  <c r="H158" i="9" s="1"/>
  <c r="H76" i="9"/>
  <c r="H27" i="9"/>
  <c r="H59" i="9" s="1"/>
  <c r="H43" i="9"/>
  <c r="H143" i="9"/>
  <c r="H160" i="9" s="1"/>
  <c r="H78" i="9"/>
  <c r="H29" i="9"/>
  <c r="H61" i="9" s="1"/>
  <c r="H45" i="9"/>
  <c r="H145" i="9"/>
  <c r="H162" i="9" s="1"/>
  <c r="H80" i="9"/>
  <c r="H31" i="9"/>
  <c r="H63" i="9" s="1"/>
  <c r="H47" i="9"/>
  <c r="J139" i="9"/>
  <c r="J156" i="9" s="1"/>
  <c r="J74" i="9"/>
  <c r="J25" i="9"/>
  <c r="J57" i="9" s="1"/>
  <c r="J41" i="9"/>
  <c r="J141" i="9"/>
  <c r="J158" i="9" s="1"/>
  <c r="J76" i="9"/>
  <c r="J43" i="9"/>
  <c r="J27" i="9"/>
  <c r="J59" i="9" s="1"/>
  <c r="J143" i="9"/>
  <c r="J160" i="9" s="1"/>
  <c r="J78" i="9"/>
  <c r="J45" i="9"/>
  <c r="J29" i="9"/>
  <c r="J61" i="9" s="1"/>
  <c r="J145" i="9"/>
  <c r="J162" i="9" s="1"/>
  <c r="J80" i="9"/>
  <c r="J47" i="9"/>
  <c r="J31" i="9"/>
  <c r="J63" i="9" s="1"/>
  <c r="S73" i="9"/>
  <c r="S138" i="9"/>
  <c r="S24" i="9"/>
  <c r="S40" i="9"/>
  <c r="S146" i="9"/>
  <c r="S81" i="9"/>
  <c r="S32" i="9"/>
  <c r="S64" i="9" s="1"/>
  <c r="S48" i="9"/>
  <c r="S141" i="9"/>
  <c r="S158" i="9" s="1"/>
  <c r="S76" i="9"/>
  <c r="S27" i="9"/>
  <c r="S59" i="9" s="1"/>
  <c r="S43" i="9"/>
  <c r="S140" i="9"/>
  <c r="S157" i="9" s="1"/>
  <c r="S75" i="9"/>
  <c r="S26" i="9"/>
  <c r="S58" i="9" s="1"/>
  <c r="S42" i="9"/>
  <c r="G106" i="9"/>
  <c r="G90" i="9"/>
  <c r="G122" i="9" s="1"/>
  <c r="G56" i="9"/>
  <c r="G65" i="9" s="1"/>
  <c r="G33" i="9"/>
  <c r="G105" i="9"/>
  <c r="G82" i="9"/>
  <c r="G89" i="9"/>
  <c r="I74" i="9"/>
  <c r="I139" i="9"/>
  <c r="I156" i="9" s="1"/>
  <c r="I25" i="9"/>
  <c r="I57" i="9" s="1"/>
  <c r="I41" i="9"/>
  <c r="I141" i="9"/>
  <c r="I158" i="9" s="1"/>
  <c r="I76" i="9"/>
  <c r="I27" i="9"/>
  <c r="I59" i="9" s="1"/>
  <c r="I43" i="9"/>
  <c r="I143" i="9"/>
  <c r="I160" i="9" s="1"/>
  <c r="I78" i="9"/>
  <c r="I29" i="9"/>
  <c r="I61" i="9" s="1"/>
  <c r="I45" i="9"/>
  <c r="I145" i="9"/>
  <c r="I162" i="9" s="1"/>
  <c r="I80" i="9"/>
  <c r="I31" i="9"/>
  <c r="I63" i="9" s="1"/>
  <c r="I47" i="9"/>
  <c r="H138" i="9"/>
  <c r="H73" i="9"/>
  <c r="H17" i="9"/>
  <c r="H24" i="9"/>
  <c r="H40" i="9"/>
  <c r="H140" i="9"/>
  <c r="H157" i="9" s="1"/>
  <c r="H75" i="9"/>
  <c r="H26" i="9"/>
  <c r="H58" i="9" s="1"/>
  <c r="H42" i="9"/>
  <c r="H142" i="9"/>
  <c r="H159" i="9" s="1"/>
  <c r="H77" i="9"/>
  <c r="H28" i="9"/>
  <c r="H60" i="9" s="1"/>
  <c r="H44" i="9"/>
  <c r="H144" i="9"/>
  <c r="H161" i="9" s="1"/>
  <c r="H79" i="9"/>
  <c r="H30" i="9"/>
  <c r="H62" i="9" s="1"/>
  <c r="H46" i="9"/>
  <c r="H146" i="9"/>
  <c r="H81" i="9"/>
  <c r="H32" i="9"/>
  <c r="H64" i="9" s="1"/>
  <c r="H48" i="9"/>
  <c r="J138" i="9"/>
  <c r="J73" i="9"/>
  <c r="J24" i="9"/>
  <c r="J40" i="9"/>
  <c r="J140" i="9"/>
  <c r="J157" i="9" s="1"/>
  <c r="J75" i="9"/>
  <c r="J26" i="9"/>
  <c r="J58" i="9" s="1"/>
  <c r="J42" i="9"/>
  <c r="J142" i="9"/>
  <c r="J159" i="9" s="1"/>
  <c r="J77" i="9"/>
  <c r="J44" i="9"/>
  <c r="J28" i="9"/>
  <c r="J60" i="9" s="1"/>
  <c r="J144" i="9"/>
  <c r="J161" i="9" s="1"/>
  <c r="J79" i="9"/>
  <c r="J46" i="9"/>
  <c r="J30" i="9"/>
  <c r="J62" i="9" s="1"/>
  <c r="J146" i="9"/>
  <c r="J81" i="9"/>
  <c r="J48" i="9"/>
  <c r="J32" i="9"/>
  <c r="J64" i="9" s="1"/>
  <c r="S144" i="9"/>
  <c r="S161" i="9" s="1"/>
  <c r="S79" i="9"/>
  <c r="S30" i="9"/>
  <c r="S62" i="9" s="1"/>
  <c r="S46" i="9"/>
  <c r="S145" i="9"/>
  <c r="S162" i="9" s="1"/>
  <c r="S80" i="9"/>
  <c r="S31" i="9"/>
  <c r="S63" i="9" s="1"/>
  <c r="S47" i="9"/>
  <c r="S143" i="9"/>
  <c r="S160" i="9" s="1"/>
  <c r="S78" i="9"/>
  <c r="S29" i="9"/>
  <c r="S61" i="9" s="1"/>
  <c r="S45" i="9"/>
  <c r="S142" i="9"/>
  <c r="S159" i="9" s="1"/>
  <c r="S77" i="9"/>
  <c r="S28" i="9"/>
  <c r="S60" i="9" s="1"/>
  <c r="S44" i="9"/>
  <c r="S74" i="9"/>
  <c r="S139" i="9"/>
  <c r="S156" i="9" s="1"/>
  <c r="S25" i="9"/>
  <c r="S57" i="9" s="1"/>
  <c r="S41" i="9"/>
  <c r="G96" i="9"/>
  <c r="G128" i="9" s="1"/>
  <c r="G112" i="9"/>
  <c r="G110" i="9"/>
  <c r="G94" i="9"/>
  <c r="G126" i="9" s="1"/>
  <c r="G92" i="9"/>
  <c r="G124" i="9" s="1"/>
  <c r="G108" i="9"/>
  <c r="G97" i="9"/>
  <c r="G129" i="9" s="1"/>
  <c r="G113" i="9"/>
  <c r="G95" i="9"/>
  <c r="G127" i="9" s="1"/>
  <c r="G111" i="9"/>
  <c r="G93" i="9"/>
  <c r="G125" i="9" s="1"/>
  <c r="G109" i="9"/>
  <c r="G107" i="9"/>
  <c r="G91" i="9"/>
  <c r="G123" i="9" s="1"/>
  <c r="G49" i="9"/>
  <c r="G155" i="9"/>
  <c r="G147" i="9"/>
  <c r="S57" i="7"/>
  <c r="T16" i="9" s="1"/>
  <c r="T81" i="9" s="1"/>
  <c r="T57" i="7"/>
  <c r="U16" i="9" s="1"/>
  <c r="U81" i="9" s="1"/>
  <c r="H50" i="13"/>
  <c r="H51" i="13" s="1"/>
  <c r="H52" i="13" s="1"/>
  <c r="G43" i="13"/>
  <c r="G39" i="13"/>
  <c r="G70" i="13"/>
  <c r="H70" i="13"/>
  <c r="H72" i="13" s="1"/>
  <c r="H39" i="13"/>
  <c r="B355" i="19"/>
  <c r="B386" i="19" s="1"/>
  <c r="E11" i="8"/>
  <c r="D9" i="11" s="1"/>
  <c r="G31" i="8"/>
  <c r="E29" i="11"/>
  <c r="E30" i="15" s="1"/>
  <c r="G29" i="8"/>
  <c r="E27" i="11"/>
  <c r="E28" i="15" s="1"/>
  <c r="G30" i="8"/>
  <c r="E28" i="11"/>
  <c r="E29" i="15" s="1"/>
  <c r="I40" i="13"/>
  <c r="E272" i="19"/>
  <c r="C9" i="11"/>
  <c r="S48" i="7"/>
  <c r="T7" i="9" s="1"/>
  <c r="S49" i="7"/>
  <c r="T8" i="9" s="1"/>
  <c r="S53" i="7"/>
  <c r="T12" i="9" s="1"/>
  <c r="B349" i="19"/>
  <c r="B380" i="19" s="1"/>
  <c r="F375" i="19"/>
  <c r="H375" i="19"/>
  <c r="S52" i="7"/>
  <c r="T11" i="9" s="1"/>
  <c r="T76" i="9" s="1"/>
  <c r="S55" i="7"/>
  <c r="T14" i="9" s="1"/>
  <c r="T79" i="9" s="1"/>
  <c r="S50" i="7"/>
  <c r="T9" i="9" s="1"/>
  <c r="S47" i="7"/>
  <c r="T6" i="9" s="1"/>
  <c r="T71" i="9" s="1"/>
  <c r="B315" i="19"/>
  <c r="B353" i="19"/>
  <c r="B384" i="19" s="1"/>
  <c r="G26" i="8"/>
  <c r="H28" i="8"/>
  <c r="G26" i="11" s="1"/>
  <c r="G27" i="15" s="1"/>
  <c r="G24" i="8"/>
  <c r="F22" i="11" s="1"/>
  <c r="F23" i="15" s="1"/>
  <c r="F18" i="11"/>
  <c r="F19" i="15" s="1"/>
  <c r="G27" i="8"/>
  <c r="F25" i="11" s="1"/>
  <c r="F26" i="15" s="1"/>
  <c r="G25" i="8"/>
  <c r="F23" i="11" s="1"/>
  <c r="F24" i="15" s="1"/>
  <c r="F21" i="11"/>
  <c r="F22" i="15" s="1"/>
  <c r="F19" i="11"/>
  <c r="F20" i="15" s="1"/>
  <c r="F17" i="11"/>
  <c r="F18" i="15" s="1"/>
  <c r="J15" i="11"/>
  <c r="J16" i="15" s="1"/>
  <c r="J13" i="11"/>
  <c r="J14" i="15" s="1"/>
  <c r="AF12" i="11"/>
  <c r="AF13" i="15" s="1"/>
  <c r="U11" i="11"/>
  <c r="J16" i="11"/>
  <c r="J17" i="15" s="1"/>
  <c r="J14" i="11"/>
  <c r="J15" i="15" s="1"/>
  <c r="F20" i="11"/>
  <c r="F21" i="15" s="1"/>
  <c r="R10" i="8"/>
  <c r="AD10" i="8"/>
  <c r="F10" i="8"/>
  <c r="L69" i="22"/>
  <c r="AG7" i="9"/>
  <c r="S44" i="7"/>
  <c r="T3" i="9" s="1"/>
  <c r="T133" i="9" s="1"/>
  <c r="T150" i="9" s="1"/>
  <c r="Q27" i="41"/>
  <c r="J40" i="13"/>
  <c r="V6" i="7"/>
  <c r="AG6" i="7"/>
  <c r="T44" i="7"/>
  <c r="U3" i="9" s="1"/>
  <c r="AH7" i="7"/>
  <c r="U43" i="7"/>
  <c r="V2" i="9" s="1"/>
  <c r="AH5" i="7"/>
  <c r="AH43" i="7" s="1"/>
  <c r="AG15" i="7"/>
  <c r="T53" i="7"/>
  <c r="U12" i="9" s="1"/>
  <c r="U77" i="9" s="1"/>
  <c r="AG11" i="7"/>
  <c r="T49" i="7"/>
  <c r="U8" i="9" s="1"/>
  <c r="U138" i="9" s="1"/>
  <c r="AG7" i="7"/>
  <c r="T45" i="7"/>
  <c r="U4" i="9" s="1"/>
  <c r="AG5" i="7"/>
  <c r="AG43" i="7" s="1"/>
  <c r="T43" i="7"/>
  <c r="U2" i="9" s="1"/>
  <c r="AH6" i="7"/>
  <c r="U44" i="7"/>
  <c r="V3" i="9" s="1"/>
  <c r="AG17" i="7"/>
  <c r="T55" i="7"/>
  <c r="U14" i="9" s="1"/>
  <c r="U79" i="9" s="1"/>
  <c r="AG13" i="7"/>
  <c r="T51" i="7"/>
  <c r="U10" i="9" s="1"/>
  <c r="U75" i="9" s="1"/>
  <c r="AG9" i="7"/>
  <c r="T47" i="7"/>
  <c r="U6" i="9" s="1"/>
  <c r="U136" i="9" s="1"/>
  <c r="U153" i="9" s="1"/>
  <c r="I51" i="7"/>
  <c r="K10" i="9" s="1"/>
  <c r="I50" i="7"/>
  <c r="K9" i="9" s="1"/>
  <c r="I49" i="7"/>
  <c r="K8" i="9" s="1"/>
  <c r="I48" i="7"/>
  <c r="K7" i="9" s="1"/>
  <c r="I47" i="7"/>
  <c r="K6" i="9" s="1"/>
  <c r="I46" i="7"/>
  <c r="K5" i="9" s="1"/>
  <c r="I45" i="7"/>
  <c r="K4" i="9" s="1"/>
  <c r="I44" i="7"/>
  <c r="K3" i="9" s="1"/>
  <c r="I43" i="7"/>
  <c r="K2" i="9" s="1"/>
  <c r="I57" i="7"/>
  <c r="K16" i="9" s="1"/>
  <c r="I56" i="7"/>
  <c r="K15" i="9" s="1"/>
  <c r="I55" i="7"/>
  <c r="K14" i="9" s="1"/>
  <c r="I54" i="7"/>
  <c r="K13" i="9" s="1"/>
  <c r="I53" i="7"/>
  <c r="K12" i="9" s="1"/>
  <c r="I52" i="7"/>
  <c r="K11" i="9" s="1"/>
  <c r="J40" i="7"/>
  <c r="K103" i="22"/>
  <c r="E12" i="8" s="1"/>
  <c r="I5" i="13"/>
  <c r="B351" i="19"/>
  <c r="B382" i="19" s="1"/>
  <c r="I1" i="9"/>
  <c r="I2" i="13" s="1"/>
  <c r="I3" i="13" s="1"/>
  <c r="I7" i="13" s="1"/>
  <c r="G58" i="7"/>
  <c r="H58" i="7"/>
  <c r="F58" i="7"/>
  <c r="C10" i="11"/>
  <c r="D11" i="15" s="1"/>
  <c r="B356" i="19"/>
  <c r="B387" i="19" s="1"/>
  <c r="G356" i="19"/>
  <c r="G274" i="19"/>
  <c r="E351" i="19"/>
  <c r="E354" i="19"/>
  <c r="J6" i="13"/>
  <c r="F12" i="15" s="1"/>
  <c r="AE5" i="9"/>
  <c r="AF5" i="9"/>
  <c r="H42" i="7"/>
  <c r="H371" i="43" s="1"/>
  <c r="Z31" i="43" s="1"/>
  <c r="AH8" i="7"/>
  <c r="AH13" i="7"/>
  <c r="W2" i="7"/>
  <c r="W5" i="7" s="1"/>
  <c r="V19" i="7"/>
  <c r="V57" i="7" s="1"/>
  <c r="W16" i="9" s="1"/>
  <c r="V18" i="7"/>
  <c r="V56" i="7" s="1"/>
  <c r="W15" i="9" s="1"/>
  <c r="V17" i="7"/>
  <c r="V55" i="7" s="1"/>
  <c r="W14" i="9" s="1"/>
  <c r="V16" i="7"/>
  <c r="V54" i="7" s="1"/>
  <c r="W13" i="9" s="1"/>
  <c r="V15" i="7"/>
  <c r="V53" i="7" s="1"/>
  <c r="W12" i="9" s="1"/>
  <c r="V14" i="7"/>
  <c r="V52" i="7" s="1"/>
  <c r="W11" i="9" s="1"/>
  <c r="V13" i="7"/>
  <c r="V51" i="7" s="1"/>
  <c r="W10" i="9" s="1"/>
  <c r="V12" i="7"/>
  <c r="V50" i="7" s="1"/>
  <c r="W9" i="9" s="1"/>
  <c r="V11" i="7"/>
  <c r="V49" i="7" s="1"/>
  <c r="W8" i="9" s="1"/>
  <c r="V10" i="7"/>
  <c r="V48" i="7" s="1"/>
  <c r="W7" i="9" s="1"/>
  <c r="V9" i="7"/>
  <c r="V47" i="7" s="1"/>
  <c r="W6" i="9" s="1"/>
  <c r="V8" i="7"/>
  <c r="V46" i="7" s="1"/>
  <c r="W5" i="9" s="1"/>
  <c r="G2" i="11"/>
  <c r="H262" i="19"/>
  <c r="H8" i="13"/>
  <c r="D127" i="56" l="1"/>
  <c r="K39" i="56"/>
  <c r="G71" i="13"/>
  <c r="K41" i="56"/>
  <c r="D135" i="56"/>
  <c r="E108" i="56"/>
  <c r="E127" i="56" s="1"/>
  <c r="AE3" i="2"/>
  <c r="AE1" i="2" s="1"/>
  <c r="E66" i="32"/>
  <c r="E81" i="56"/>
  <c r="G31" i="1"/>
  <c r="I18" i="56" s="1"/>
  <c r="E363" i="19"/>
  <c r="G343" i="19"/>
  <c r="F44" i="51"/>
  <c r="F2" i="15"/>
  <c r="C4" i="15"/>
  <c r="AE72" i="9"/>
  <c r="AE104" i="9" s="1"/>
  <c r="AE23" i="9"/>
  <c r="AE55" i="9" s="1"/>
  <c r="AE137" i="9"/>
  <c r="AE154" i="9" s="1"/>
  <c r="AE39" i="9"/>
  <c r="H1" i="51"/>
  <c r="H17" i="51" s="1"/>
  <c r="F1" i="10"/>
  <c r="F81" i="56" s="1"/>
  <c r="E2" i="12"/>
  <c r="C312" i="19"/>
  <c r="C1" i="11"/>
  <c r="C1" i="15" s="1"/>
  <c r="E39" i="32"/>
  <c r="E93" i="32" s="1"/>
  <c r="E110" i="32" s="1"/>
  <c r="C112" i="19"/>
  <c r="AF3" i="2"/>
  <c r="AG3" i="2" s="1"/>
  <c r="AH3" i="2" s="1"/>
  <c r="AI3" i="2" s="1"/>
  <c r="AJ3" i="2" s="1"/>
  <c r="AK3" i="2" s="1"/>
  <c r="AL3" i="2" s="1"/>
  <c r="AM3" i="2" s="1"/>
  <c r="AN3" i="2" s="1"/>
  <c r="AO3" i="2" s="1"/>
  <c r="AP3" i="2" s="1"/>
  <c r="AG146" i="9"/>
  <c r="AG81" i="9"/>
  <c r="AG97" i="9" s="1"/>
  <c r="AG129" i="9" s="1"/>
  <c r="AG32" i="9"/>
  <c r="AG64" i="9" s="1"/>
  <c r="AF138" i="9"/>
  <c r="AF155" i="9" s="1"/>
  <c r="AF73" i="9"/>
  <c r="AF105" i="9" s="1"/>
  <c r="AF40" i="9"/>
  <c r="AF146" i="9"/>
  <c r="AF81" i="9"/>
  <c r="AF97" i="9" s="1"/>
  <c r="AF129" i="9" s="1"/>
  <c r="AF32" i="9"/>
  <c r="AF64" i="9" s="1"/>
  <c r="AF143" i="9"/>
  <c r="AF160" i="9" s="1"/>
  <c r="AF78" i="9"/>
  <c r="AF110" i="9" s="1"/>
  <c r="AF45" i="9"/>
  <c r="AF142" i="9"/>
  <c r="AF159" i="9" s="1"/>
  <c r="AF77" i="9"/>
  <c r="AF93" i="9" s="1"/>
  <c r="AF125" i="9" s="1"/>
  <c r="AF28" i="9"/>
  <c r="AF60" i="9" s="1"/>
  <c r="AF144" i="9"/>
  <c r="AF161" i="9" s="1"/>
  <c r="AF79" i="9"/>
  <c r="AF111" i="9" s="1"/>
  <c r="AF30" i="9"/>
  <c r="AF62" i="9" s="1"/>
  <c r="AF141" i="9"/>
  <c r="AF158" i="9" s="1"/>
  <c r="AF76" i="9"/>
  <c r="AF108" i="9" s="1"/>
  <c r="AF43" i="9"/>
  <c r="AG145" i="9"/>
  <c r="AG162" i="9" s="1"/>
  <c r="AG80" i="9"/>
  <c r="AG143" i="9"/>
  <c r="AG160" i="9" s="1"/>
  <c r="AG78" i="9"/>
  <c r="AF139" i="9"/>
  <c r="AF156" i="9" s="1"/>
  <c r="AF25" i="9"/>
  <c r="AF57" i="9" s="1"/>
  <c r="AF74" i="9"/>
  <c r="AF90" i="9" s="1"/>
  <c r="AF122" i="9" s="1"/>
  <c r="AF140" i="9"/>
  <c r="AF157" i="9" s="1"/>
  <c r="AF42" i="9"/>
  <c r="AF75" i="9"/>
  <c r="AF91" i="9" s="1"/>
  <c r="AF123" i="9" s="1"/>
  <c r="AF134" i="9"/>
  <c r="AF151" i="9" s="1"/>
  <c r="AF69" i="9"/>
  <c r="AF101" i="9" s="1"/>
  <c r="AF36" i="9"/>
  <c r="AG141" i="9"/>
  <c r="AG158" i="9" s="1"/>
  <c r="AG76" i="9"/>
  <c r="AF133" i="9"/>
  <c r="AF68" i="9"/>
  <c r="AG139" i="9"/>
  <c r="AG156" i="9" s="1"/>
  <c r="AG74" i="9"/>
  <c r="AH16" i="7"/>
  <c r="AH54" i="7" s="1"/>
  <c r="AH13" i="9" s="1"/>
  <c r="AH9" i="7"/>
  <c r="AH47" i="7" s="1"/>
  <c r="AH6" i="9" s="1"/>
  <c r="AH71" i="9" s="1"/>
  <c r="AH46" i="7"/>
  <c r="AH5" i="9" s="1"/>
  <c r="AG47" i="7"/>
  <c r="AG6" i="9" s="1"/>
  <c r="AG51" i="7"/>
  <c r="AG10" i="9" s="1"/>
  <c r="AG55" i="7"/>
  <c r="AG14" i="9" s="1"/>
  <c r="AH44" i="7"/>
  <c r="AH3" i="9" s="1"/>
  <c r="AH68" i="9" s="1"/>
  <c r="AG45" i="7"/>
  <c r="AG4" i="9" s="1"/>
  <c r="AH45" i="7"/>
  <c r="AH4" i="9" s="1"/>
  <c r="AG44" i="7"/>
  <c r="AG3" i="9" s="1"/>
  <c r="AG68" i="9" s="1"/>
  <c r="AH57" i="7"/>
  <c r="AH16" i="9" s="1"/>
  <c r="AH53" i="7"/>
  <c r="AH12" i="9" s="1"/>
  <c r="AH52" i="7"/>
  <c r="AH11" i="9" s="1"/>
  <c r="AH18" i="7"/>
  <c r="AH51" i="7"/>
  <c r="AH10" i="9" s="1"/>
  <c r="AH12" i="7"/>
  <c r="AG49" i="7"/>
  <c r="AG8" i="9" s="1"/>
  <c r="AG53" i="7"/>
  <c r="AG12" i="9" s="1"/>
  <c r="AF41" i="9"/>
  <c r="AF26" i="9"/>
  <c r="AF58" i="9" s="1"/>
  <c r="AF27" i="9"/>
  <c r="AF59" i="9" s="1"/>
  <c r="AF24" i="9"/>
  <c r="AF56" i="9" s="1"/>
  <c r="AF46" i="9"/>
  <c r="AG48" i="9"/>
  <c r="AF48" i="9"/>
  <c r="AF20" i="9"/>
  <c r="AF52" i="9" s="1"/>
  <c r="AF44" i="9"/>
  <c r="AF29" i="9"/>
  <c r="AF61" i="9" s="1"/>
  <c r="S34" i="9"/>
  <c r="S49" i="9" s="1"/>
  <c r="S132" i="9"/>
  <c r="S149" i="9" s="1"/>
  <c r="S17" i="9"/>
  <c r="S67" i="9"/>
  <c r="S82" i="9" s="1"/>
  <c r="G163" i="9"/>
  <c r="U53" i="7"/>
  <c r="V12" i="9" s="1"/>
  <c r="V77" i="9" s="1"/>
  <c r="U57" i="7"/>
  <c r="V16" i="9" s="1"/>
  <c r="V146" i="9" s="1"/>
  <c r="AH17" i="7"/>
  <c r="H99" i="9"/>
  <c r="F370" i="43"/>
  <c r="AF135" i="9"/>
  <c r="AF152" i="9" s="1"/>
  <c r="AF70" i="9"/>
  <c r="AF102" i="9" s="1"/>
  <c r="AE135" i="9"/>
  <c r="AE152" i="9" s="1"/>
  <c r="AE70" i="9"/>
  <c r="AE102" i="9" s="1"/>
  <c r="AG137" i="9"/>
  <c r="AG154" i="9" s="1"/>
  <c r="AG72" i="9"/>
  <c r="AF137" i="9"/>
  <c r="AF154" i="9" s="1"/>
  <c r="AF72" i="9"/>
  <c r="AF104" i="9" s="1"/>
  <c r="AG135" i="9"/>
  <c r="AG152" i="9" s="1"/>
  <c r="AG70" i="9"/>
  <c r="U52" i="7"/>
  <c r="V11" i="9" s="1"/>
  <c r="V76" i="9" s="1"/>
  <c r="V92" i="9" s="1"/>
  <c r="V124" i="9" s="1"/>
  <c r="AF39" i="9"/>
  <c r="AH10" i="7"/>
  <c r="AH11" i="7"/>
  <c r="A44" i="43"/>
  <c r="B44" i="43" s="1"/>
  <c r="C43" i="43"/>
  <c r="D43" i="43" s="1"/>
  <c r="E36" i="15"/>
  <c r="D37" i="15"/>
  <c r="F363" i="19" s="1"/>
  <c r="E10" i="15"/>
  <c r="G165" i="9"/>
  <c r="T27" i="9"/>
  <c r="T59" i="9" s="1"/>
  <c r="T141" i="9"/>
  <c r="T158" i="9" s="1"/>
  <c r="V30" i="9"/>
  <c r="V62" i="9" s="1"/>
  <c r="V79" i="9"/>
  <c r="V95" i="9" s="1"/>
  <c r="V127" i="9" s="1"/>
  <c r="T30" i="9"/>
  <c r="T62" i="9" s="1"/>
  <c r="T144" i="9"/>
  <c r="T161" i="9" s="1"/>
  <c r="T32" i="9"/>
  <c r="T64" i="9" s="1"/>
  <c r="T146" i="9"/>
  <c r="U40" i="9"/>
  <c r="U73" i="9"/>
  <c r="U89" i="9" s="1"/>
  <c r="U42" i="9"/>
  <c r="U140" i="9"/>
  <c r="U157" i="9" s="1"/>
  <c r="U44" i="9"/>
  <c r="U142" i="9"/>
  <c r="U159" i="9" s="1"/>
  <c r="U46" i="9"/>
  <c r="U144" i="9"/>
  <c r="U161" i="9" s="1"/>
  <c r="U48" i="9"/>
  <c r="U146" i="9"/>
  <c r="T22" i="9"/>
  <c r="T54" i="9" s="1"/>
  <c r="T136" i="9"/>
  <c r="T153" i="9" s="1"/>
  <c r="AF21" i="9"/>
  <c r="AF53" i="9" s="1"/>
  <c r="V38" i="9"/>
  <c r="V71" i="9"/>
  <c r="V103" i="9" s="1"/>
  <c r="U38" i="9"/>
  <c r="U71" i="9"/>
  <c r="U103" i="9" s="1"/>
  <c r="T35" i="9"/>
  <c r="T68" i="9"/>
  <c r="T100" i="9" s="1"/>
  <c r="AE37" i="9"/>
  <c r="T43" i="9"/>
  <c r="V46" i="9"/>
  <c r="V27" i="9"/>
  <c r="V59" i="9" s="1"/>
  <c r="T46" i="9"/>
  <c r="T48" i="9"/>
  <c r="U24" i="9"/>
  <c r="U26" i="9"/>
  <c r="U58" i="9" s="1"/>
  <c r="U28" i="9"/>
  <c r="U60" i="9" s="1"/>
  <c r="U30" i="9"/>
  <c r="U62" i="9" s="1"/>
  <c r="U32" i="9"/>
  <c r="U64" i="9" s="1"/>
  <c r="T38" i="9"/>
  <c r="AF37" i="9"/>
  <c r="V22" i="9"/>
  <c r="V54" i="9" s="1"/>
  <c r="U22" i="9"/>
  <c r="U54" i="9" s="1"/>
  <c r="T19" i="9"/>
  <c r="T51" i="9" s="1"/>
  <c r="W137" i="9"/>
  <c r="W154" i="9" s="1"/>
  <c r="W72" i="9"/>
  <c r="W23" i="9"/>
  <c r="W55" i="9" s="1"/>
  <c r="W39" i="9"/>
  <c r="AE153" i="9"/>
  <c r="AE38" i="9"/>
  <c r="K133" i="9"/>
  <c r="K150" i="9" s="1"/>
  <c r="K68" i="9"/>
  <c r="K19" i="9"/>
  <c r="K51" i="9" s="1"/>
  <c r="K35" i="9"/>
  <c r="K137" i="9"/>
  <c r="K154" i="9" s="1"/>
  <c r="K72" i="9"/>
  <c r="K23" i="9"/>
  <c r="K55" i="9" s="1"/>
  <c r="K39" i="9"/>
  <c r="W136" i="9"/>
  <c r="W153" i="9" s="1"/>
  <c r="W71" i="9"/>
  <c r="W22" i="9"/>
  <c r="W54" i="9" s="1"/>
  <c r="W38" i="9"/>
  <c r="J132" i="9"/>
  <c r="J149" i="9" s="1"/>
  <c r="J67" i="9"/>
  <c r="J82" i="9" s="1"/>
  <c r="J168" i="9" s="1"/>
  <c r="J18" i="9"/>
  <c r="J50" i="9" s="1"/>
  <c r="J34" i="9"/>
  <c r="J49" i="9" s="1"/>
  <c r="J14" i="13" s="1"/>
  <c r="K134" i="9"/>
  <c r="K151" i="9" s="1"/>
  <c r="K69" i="9"/>
  <c r="K20" i="9"/>
  <c r="K52" i="9" s="1"/>
  <c r="K36" i="9"/>
  <c r="K136" i="9"/>
  <c r="K153" i="9" s="1"/>
  <c r="K71" i="9"/>
  <c r="K22" i="9"/>
  <c r="K54" i="9" s="1"/>
  <c r="K38" i="9"/>
  <c r="U137" i="9"/>
  <c r="U154" i="9" s="1"/>
  <c r="U72" i="9"/>
  <c r="U23" i="9"/>
  <c r="U55" i="9" s="1"/>
  <c r="U39" i="9"/>
  <c r="V134" i="9"/>
  <c r="V151" i="9" s="1"/>
  <c r="V69" i="9"/>
  <c r="V20" i="9"/>
  <c r="V52" i="9" s="1"/>
  <c r="V36" i="9"/>
  <c r="U133" i="9"/>
  <c r="U150" i="9" s="1"/>
  <c r="U68" i="9"/>
  <c r="U19" i="9"/>
  <c r="U51" i="9" s="1"/>
  <c r="U35" i="9"/>
  <c r="U135" i="9"/>
  <c r="U152" i="9" s="1"/>
  <c r="U70" i="9"/>
  <c r="U21" i="9"/>
  <c r="U53" i="9" s="1"/>
  <c r="U37" i="9"/>
  <c r="AG25" i="9"/>
  <c r="AG57" i="9" s="1"/>
  <c r="AG41" i="9"/>
  <c r="AG29" i="9"/>
  <c r="AG61" i="9" s="1"/>
  <c r="AG45" i="9"/>
  <c r="V133" i="9"/>
  <c r="V150" i="9" s="1"/>
  <c r="V19" i="9"/>
  <c r="V51" i="9" s="1"/>
  <c r="V68" i="9"/>
  <c r="V35" i="9"/>
  <c r="T134" i="9"/>
  <c r="T151" i="9" s="1"/>
  <c r="T69" i="9"/>
  <c r="T20" i="9"/>
  <c r="T52" i="9" s="1"/>
  <c r="T36" i="9"/>
  <c r="T137" i="9"/>
  <c r="T154" i="9" s="1"/>
  <c r="T72" i="9"/>
  <c r="T23" i="9"/>
  <c r="T55" i="9" s="1"/>
  <c r="T39" i="9"/>
  <c r="J17" i="9"/>
  <c r="F4" i="11" s="1"/>
  <c r="H264" i="19" s="1"/>
  <c r="T99" i="9"/>
  <c r="S104" i="9"/>
  <c r="S88" i="9"/>
  <c r="S120" i="9" s="1"/>
  <c r="AE89" i="9"/>
  <c r="AE121" i="9" s="1"/>
  <c r="AE105" i="9"/>
  <c r="AE112" i="9"/>
  <c r="AE96" i="9"/>
  <c r="AE128" i="9" s="1"/>
  <c r="J104" i="9"/>
  <c r="J88" i="9"/>
  <c r="J120" i="9" s="1"/>
  <c r="J86" i="9"/>
  <c r="J118" i="9" s="1"/>
  <c r="J102" i="9"/>
  <c r="J84" i="9"/>
  <c r="J116" i="9" s="1"/>
  <c r="J100" i="9"/>
  <c r="H104" i="9"/>
  <c r="H88" i="9"/>
  <c r="H120" i="9" s="1"/>
  <c r="H86" i="9"/>
  <c r="H118" i="9" s="1"/>
  <c r="H102" i="9"/>
  <c r="H100" i="9"/>
  <c r="H84" i="9"/>
  <c r="H116" i="9" s="1"/>
  <c r="AF112" i="9"/>
  <c r="AF96" i="9"/>
  <c r="AF128" i="9" s="1"/>
  <c r="I103" i="9"/>
  <c r="I87" i="9"/>
  <c r="I119" i="9" s="1"/>
  <c r="I101" i="9"/>
  <c r="I85" i="9"/>
  <c r="I117" i="9" s="1"/>
  <c r="AE107" i="9"/>
  <c r="AE91" i="9"/>
  <c r="AE123" i="9" s="1"/>
  <c r="AE95" i="9"/>
  <c r="AE127" i="9" s="1"/>
  <c r="AE111" i="9"/>
  <c r="AE113" i="9"/>
  <c r="AE97" i="9"/>
  <c r="AE129" i="9" s="1"/>
  <c r="AE90" i="9"/>
  <c r="AE122" i="9" s="1"/>
  <c r="AE106" i="9"/>
  <c r="AE110" i="9"/>
  <c r="AE94" i="9"/>
  <c r="AE126" i="9" s="1"/>
  <c r="AF153" i="9"/>
  <c r="AF22" i="9"/>
  <c r="AF54" i="9" s="1"/>
  <c r="AF38" i="9"/>
  <c r="K135" i="9"/>
  <c r="K152" i="9" s="1"/>
  <c r="K70" i="9"/>
  <c r="K21" i="9"/>
  <c r="K53" i="9" s="1"/>
  <c r="K37" i="9"/>
  <c r="AG23" i="9"/>
  <c r="AG55" i="9" s="1"/>
  <c r="AG39" i="9"/>
  <c r="AG27" i="9"/>
  <c r="AG59" i="9" s="1"/>
  <c r="AG43" i="9"/>
  <c r="AG31" i="9"/>
  <c r="AG63" i="9" s="1"/>
  <c r="AG47" i="9"/>
  <c r="AG21" i="9"/>
  <c r="AG53" i="9" s="1"/>
  <c r="AG37" i="9"/>
  <c r="V135" i="9"/>
  <c r="V152" i="9" s="1"/>
  <c r="V21" i="9"/>
  <c r="V53" i="9" s="1"/>
  <c r="V70" i="9"/>
  <c r="V37" i="9"/>
  <c r="U134" i="9"/>
  <c r="U151" i="9" s="1"/>
  <c r="U69" i="9"/>
  <c r="U20" i="9"/>
  <c r="U52" i="9" s="1"/>
  <c r="U36" i="9"/>
  <c r="V137" i="9"/>
  <c r="V154" i="9" s="1"/>
  <c r="V72" i="9"/>
  <c r="V23" i="9"/>
  <c r="V55" i="9" s="1"/>
  <c r="V39" i="9"/>
  <c r="U132" i="9"/>
  <c r="U149" i="9" s="1"/>
  <c r="U67" i="9"/>
  <c r="U18" i="9"/>
  <c r="U50" i="9" s="1"/>
  <c r="U34" i="9"/>
  <c r="S100" i="9"/>
  <c r="J103" i="9"/>
  <c r="J87" i="9"/>
  <c r="J119" i="9" s="1"/>
  <c r="J85" i="9"/>
  <c r="J117" i="9" s="1"/>
  <c r="J101" i="9"/>
  <c r="H87" i="9"/>
  <c r="H119" i="9" s="1"/>
  <c r="H103" i="9"/>
  <c r="H85" i="9"/>
  <c r="H117" i="9" s="1"/>
  <c r="H101" i="9"/>
  <c r="T103" i="9"/>
  <c r="I104" i="9"/>
  <c r="I88" i="9"/>
  <c r="I120" i="9" s="1"/>
  <c r="I86" i="9"/>
  <c r="I118" i="9" s="1"/>
  <c r="I102" i="9"/>
  <c r="I100" i="9"/>
  <c r="I84" i="9"/>
  <c r="I116" i="9" s="1"/>
  <c r="T102" i="9"/>
  <c r="AE93" i="9"/>
  <c r="AE125" i="9" s="1"/>
  <c r="AE109" i="9"/>
  <c r="AE108" i="9"/>
  <c r="AE92" i="9"/>
  <c r="AE124" i="9" s="1"/>
  <c r="S101" i="9"/>
  <c r="I132" i="9"/>
  <c r="I67" i="9"/>
  <c r="I82" i="9" s="1"/>
  <c r="I18" i="9"/>
  <c r="I50" i="9" s="1"/>
  <c r="I34" i="9"/>
  <c r="I49" i="9" s="1"/>
  <c r="AE101" i="9"/>
  <c r="W73" i="9"/>
  <c r="W138" i="9"/>
  <c r="W24" i="9"/>
  <c r="W40" i="9"/>
  <c r="W142" i="9"/>
  <c r="W159" i="9" s="1"/>
  <c r="W77" i="9"/>
  <c r="W28" i="9"/>
  <c r="W60" i="9" s="1"/>
  <c r="W44" i="9"/>
  <c r="W144" i="9"/>
  <c r="W161" i="9" s="1"/>
  <c r="W79" i="9"/>
  <c r="W30" i="9"/>
  <c r="W62" i="9" s="1"/>
  <c r="W46" i="9"/>
  <c r="W74" i="9"/>
  <c r="W139" i="9"/>
  <c r="W156" i="9" s="1"/>
  <c r="W25" i="9"/>
  <c r="W57" i="9" s="1"/>
  <c r="W41" i="9"/>
  <c r="W141" i="9"/>
  <c r="W158" i="9" s="1"/>
  <c r="W76" i="9"/>
  <c r="W27" i="9"/>
  <c r="W59" i="9" s="1"/>
  <c r="W43" i="9"/>
  <c r="W143" i="9"/>
  <c r="W160" i="9" s="1"/>
  <c r="W78" i="9"/>
  <c r="W29" i="9"/>
  <c r="W61" i="9" s="1"/>
  <c r="W45" i="9"/>
  <c r="W145" i="9"/>
  <c r="W162" i="9" s="1"/>
  <c r="W80" i="9"/>
  <c r="W31" i="9"/>
  <c r="W63" i="9" s="1"/>
  <c r="W47" i="9"/>
  <c r="K142" i="9"/>
  <c r="K159" i="9" s="1"/>
  <c r="K77" i="9"/>
  <c r="K28" i="9"/>
  <c r="K60" i="9" s="1"/>
  <c r="K44" i="9"/>
  <c r="K144" i="9"/>
  <c r="K161" i="9" s="1"/>
  <c r="K79" i="9"/>
  <c r="K30" i="9"/>
  <c r="K62" i="9" s="1"/>
  <c r="K46" i="9"/>
  <c r="K146" i="9"/>
  <c r="K81" i="9"/>
  <c r="K32" i="9"/>
  <c r="K64" i="9" s="1"/>
  <c r="K48" i="9"/>
  <c r="K74" i="9"/>
  <c r="K139" i="9"/>
  <c r="K156" i="9" s="1"/>
  <c r="K25" i="9"/>
  <c r="K57" i="9" s="1"/>
  <c r="K41" i="9"/>
  <c r="K141" i="9"/>
  <c r="K158" i="9" s="1"/>
  <c r="K76" i="9"/>
  <c r="K27" i="9"/>
  <c r="K59" i="9" s="1"/>
  <c r="K43" i="9"/>
  <c r="U74" i="9"/>
  <c r="U139" i="9"/>
  <c r="U156" i="9" s="1"/>
  <c r="U41" i="9"/>
  <c r="U25" i="9"/>
  <c r="U57" i="9" s="1"/>
  <c r="U143" i="9"/>
  <c r="U160" i="9" s="1"/>
  <c r="U78" i="9"/>
  <c r="U29" i="9"/>
  <c r="U61" i="9" s="1"/>
  <c r="U45" i="9"/>
  <c r="T140" i="9"/>
  <c r="T157" i="9" s="1"/>
  <c r="T75" i="9"/>
  <c r="T26" i="9"/>
  <c r="T58" i="9" s="1"/>
  <c r="T42" i="9"/>
  <c r="T142" i="9"/>
  <c r="T159" i="9" s="1"/>
  <c r="T77" i="9"/>
  <c r="T28" i="9"/>
  <c r="T60" i="9" s="1"/>
  <c r="T44" i="9"/>
  <c r="T139" i="9"/>
  <c r="T156" i="9" s="1"/>
  <c r="T74" i="9"/>
  <c r="T25" i="9"/>
  <c r="T57" i="9" s="1"/>
  <c r="T41" i="9"/>
  <c r="V145" i="9"/>
  <c r="V162" i="9" s="1"/>
  <c r="V80" i="9"/>
  <c r="V31" i="9"/>
  <c r="V63" i="9" s="1"/>
  <c r="V47" i="9"/>
  <c r="V139" i="9"/>
  <c r="V156" i="9" s="1"/>
  <c r="V74" i="9"/>
  <c r="V25" i="9"/>
  <c r="V57" i="9" s="1"/>
  <c r="V41" i="9"/>
  <c r="V138" i="9"/>
  <c r="V73" i="9"/>
  <c r="V24" i="9"/>
  <c r="V40" i="9"/>
  <c r="S109" i="9"/>
  <c r="S93" i="9"/>
  <c r="S125" i="9" s="1"/>
  <c r="S94" i="9"/>
  <c r="S126" i="9" s="1"/>
  <c r="S110" i="9"/>
  <c r="S112" i="9"/>
  <c r="S96" i="9"/>
  <c r="S128" i="9" s="1"/>
  <c r="S111" i="9"/>
  <c r="S95" i="9"/>
  <c r="S127" i="9" s="1"/>
  <c r="T92" i="9"/>
  <c r="T124" i="9" s="1"/>
  <c r="T108" i="9"/>
  <c r="J97" i="9"/>
  <c r="J129" i="9" s="1"/>
  <c r="J113" i="9"/>
  <c r="J95" i="9"/>
  <c r="J127" i="9" s="1"/>
  <c r="J111" i="9"/>
  <c r="J93" i="9"/>
  <c r="J125" i="9" s="1"/>
  <c r="J109" i="9"/>
  <c r="J91" i="9"/>
  <c r="J123" i="9" s="1"/>
  <c r="J107" i="9"/>
  <c r="J155" i="9"/>
  <c r="H56" i="9"/>
  <c r="H65" i="9" s="1"/>
  <c r="H33" i="9"/>
  <c r="H89" i="9"/>
  <c r="H105" i="9"/>
  <c r="H82" i="9"/>
  <c r="I96" i="9"/>
  <c r="I128" i="9" s="1"/>
  <c r="I112" i="9"/>
  <c r="I110" i="9"/>
  <c r="I94" i="9"/>
  <c r="I126" i="9" s="1"/>
  <c r="I92" i="9"/>
  <c r="I124" i="9" s="1"/>
  <c r="I108" i="9"/>
  <c r="G121" i="9"/>
  <c r="G130" i="9" s="1"/>
  <c r="G98" i="9"/>
  <c r="G114" i="9"/>
  <c r="S56" i="9"/>
  <c r="S155" i="9"/>
  <c r="J96" i="9"/>
  <c r="J128" i="9" s="1"/>
  <c r="J112" i="9"/>
  <c r="J94" i="9"/>
  <c r="J126" i="9" s="1"/>
  <c r="J110" i="9"/>
  <c r="J92" i="9"/>
  <c r="J124" i="9" s="1"/>
  <c r="J108" i="9"/>
  <c r="J90" i="9"/>
  <c r="J122" i="9" s="1"/>
  <c r="J106" i="9"/>
  <c r="H96" i="9"/>
  <c r="H128" i="9" s="1"/>
  <c r="H112" i="9"/>
  <c r="H94" i="9"/>
  <c r="H126" i="9" s="1"/>
  <c r="H110" i="9"/>
  <c r="H108" i="9"/>
  <c r="H92" i="9"/>
  <c r="H124" i="9" s="1"/>
  <c r="H90" i="9"/>
  <c r="H122" i="9" s="1"/>
  <c r="H106" i="9"/>
  <c r="I113" i="9"/>
  <c r="I97" i="9"/>
  <c r="I129" i="9" s="1"/>
  <c r="I111" i="9"/>
  <c r="I95" i="9"/>
  <c r="I127" i="9" s="1"/>
  <c r="I109" i="9"/>
  <c r="I93" i="9"/>
  <c r="I125" i="9" s="1"/>
  <c r="I107" i="9"/>
  <c r="I91" i="9"/>
  <c r="I123" i="9" s="1"/>
  <c r="I56" i="9"/>
  <c r="I105" i="9"/>
  <c r="I89" i="9"/>
  <c r="U17" i="9"/>
  <c r="U155" i="9"/>
  <c r="U91" i="9"/>
  <c r="U123" i="9" s="1"/>
  <c r="U107" i="9"/>
  <c r="U109" i="9"/>
  <c r="U93" i="9"/>
  <c r="U125" i="9" s="1"/>
  <c r="U111" i="9"/>
  <c r="U95" i="9"/>
  <c r="U127" i="9" s="1"/>
  <c r="U113" i="9"/>
  <c r="U97" i="9"/>
  <c r="U129" i="9" s="1"/>
  <c r="W140" i="9"/>
  <c r="W157" i="9" s="1"/>
  <c r="W75" i="9"/>
  <c r="W26" i="9"/>
  <c r="W58" i="9" s="1"/>
  <c r="W42" i="9"/>
  <c r="W146" i="9"/>
  <c r="W81" i="9"/>
  <c r="W48" i="9"/>
  <c r="W32" i="9"/>
  <c r="W64" i="9" s="1"/>
  <c r="K143" i="9"/>
  <c r="K160" i="9" s="1"/>
  <c r="K78" i="9"/>
  <c r="K29" i="9"/>
  <c r="K61" i="9" s="1"/>
  <c r="K45" i="9"/>
  <c r="K145" i="9"/>
  <c r="K162" i="9" s="1"/>
  <c r="K80" i="9"/>
  <c r="K31" i="9"/>
  <c r="K63" i="9" s="1"/>
  <c r="K47" i="9"/>
  <c r="K138" i="9"/>
  <c r="K73" i="9"/>
  <c r="K24" i="9"/>
  <c r="K40" i="9"/>
  <c r="K140" i="9"/>
  <c r="K157" i="9" s="1"/>
  <c r="K75" i="9"/>
  <c r="K26" i="9"/>
  <c r="K58" i="9" s="1"/>
  <c r="K42" i="9"/>
  <c r="U141" i="9"/>
  <c r="U158" i="9" s="1"/>
  <c r="U76" i="9"/>
  <c r="U27" i="9"/>
  <c r="U59" i="9" s="1"/>
  <c r="U43" i="9"/>
  <c r="U145" i="9"/>
  <c r="U162" i="9" s="1"/>
  <c r="U80" i="9"/>
  <c r="U31" i="9"/>
  <c r="U63" i="9" s="1"/>
  <c r="U47" i="9"/>
  <c r="T145" i="9"/>
  <c r="T162" i="9" s="1"/>
  <c r="T80" i="9"/>
  <c r="T31" i="9"/>
  <c r="T63" i="9" s="1"/>
  <c r="T47" i="9"/>
  <c r="V81" i="9"/>
  <c r="V48" i="9"/>
  <c r="V75" i="9"/>
  <c r="V140" i="9"/>
  <c r="V157" i="9" s="1"/>
  <c r="V26" i="9"/>
  <c r="V58" i="9" s="1"/>
  <c r="V42" i="9"/>
  <c r="T143" i="9"/>
  <c r="T160" i="9" s="1"/>
  <c r="T78" i="9"/>
  <c r="T29" i="9"/>
  <c r="T61" i="9" s="1"/>
  <c r="T45" i="9"/>
  <c r="T138" i="9"/>
  <c r="T73" i="9"/>
  <c r="T17" i="9"/>
  <c r="T24" i="9"/>
  <c r="T40" i="9"/>
  <c r="V143" i="9"/>
  <c r="V160" i="9" s="1"/>
  <c r="V78" i="9"/>
  <c r="V29" i="9"/>
  <c r="V61" i="9" s="1"/>
  <c r="V45" i="9"/>
  <c r="V142" i="9"/>
  <c r="V159" i="9" s="1"/>
  <c r="S106" i="9"/>
  <c r="S90" i="9"/>
  <c r="S122" i="9" s="1"/>
  <c r="J56" i="9"/>
  <c r="J89" i="9"/>
  <c r="J105" i="9"/>
  <c r="H97" i="9"/>
  <c r="H129" i="9" s="1"/>
  <c r="H113" i="9"/>
  <c r="H95" i="9"/>
  <c r="H127" i="9" s="1"/>
  <c r="H111" i="9"/>
  <c r="H93" i="9"/>
  <c r="H125" i="9" s="1"/>
  <c r="H109" i="9"/>
  <c r="H91" i="9"/>
  <c r="H123" i="9" s="1"/>
  <c r="H107" i="9"/>
  <c r="H49" i="9"/>
  <c r="H155" i="9"/>
  <c r="H163" i="9" s="1"/>
  <c r="H147" i="9"/>
  <c r="I106" i="9"/>
  <c r="I90" i="9"/>
  <c r="I122" i="9" s="1"/>
  <c r="G168" i="9"/>
  <c r="S107" i="9"/>
  <c r="S91" i="9"/>
  <c r="S123" i="9" s="1"/>
  <c r="S92" i="9"/>
  <c r="S124" i="9" s="1"/>
  <c r="S108" i="9"/>
  <c r="S113" i="9"/>
  <c r="S97" i="9"/>
  <c r="S129" i="9" s="1"/>
  <c r="S105" i="9"/>
  <c r="S89" i="9"/>
  <c r="I155" i="9"/>
  <c r="T95" i="9"/>
  <c r="T127" i="9" s="1"/>
  <c r="T111" i="9"/>
  <c r="T97" i="9"/>
  <c r="T129" i="9" s="1"/>
  <c r="T113" i="9"/>
  <c r="U56" i="9"/>
  <c r="I50" i="13"/>
  <c r="I51" i="13" s="1"/>
  <c r="I52" i="13" s="1"/>
  <c r="I39" i="13"/>
  <c r="I70" i="13"/>
  <c r="I72" i="13" s="1"/>
  <c r="H71" i="13" s="1"/>
  <c r="I64" i="13"/>
  <c r="F11" i="8"/>
  <c r="E9" i="11" s="1"/>
  <c r="H26" i="8"/>
  <c r="G24" i="11" s="1"/>
  <c r="G25" i="15" s="1"/>
  <c r="F24" i="11"/>
  <c r="F25" i="15" s="1"/>
  <c r="H30" i="8"/>
  <c r="F28" i="11"/>
  <c r="F29" i="15" s="1"/>
  <c r="H29" i="8"/>
  <c r="F27" i="11"/>
  <c r="F28" i="15" s="1"/>
  <c r="H31" i="8"/>
  <c r="F29" i="11"/>
  <c r="F30" i="15" s="1"/>
  <c r="G275" i="19"/>
  <c r="G10" i="8"/>
  <c r="AE10" i="8"/>
  <c r="S10" i="8"/>
  <c r="K14" i="11"/>
  <c r="K15" i="15" s="1"/>
  <c r="K16" i="11"/>
  <c r="K17" i="15" s="1"/>
  <c r="V11" i="11"/>
  <c r="AG12" i="11"/>
  <c r="AG13" i="15" s="1"/>
  <c r="K13" i="11"/>
  <c r="K14" i="15" s="1"/>
  <c r="K15" i="11"/>
  <c r="K16" i="15" s="1"/>
  <c r="F271" i="19"/>
  <c r="G20" i="11"/>
  <c r="G21" i="15" s="1"/>
  <c r="I26" i="8"/>
  <c r="H24" i="11" s="1"/>
  <c r="H25" i="15" s="1"/>
  <c r="G17" i="11"/>
  <c r="G18" i="15" s="1"/>
  <c r="G19" i="11"/>
  <c r="G20" i="15" s="1"/>
  <c r="G21" i="11"/>
  <c r="G22" i="15" s="1"/>
  <c r="H25" i="8"/>
  <c r="G23" i="11" s="1"/>
  <c r="G24" i="15" s="1"/>
  <c r="H27" i="8"/>
  <c r="G25" i="11" s="1"/>
  <c r="G26" i="15" s="1"/>
  <c r="G18" i="11"/>
  <c r="G19" i="15" s="1"/>
  <c r="H24" i="8"/>
  <c r="G22" i="11" s="1"/>
  <c r="G23" i="15" s="1"/>
  <c r="I28" i="8"/>
  <c r="H26" i="11" s="1"/>
  <c r="H27" i="15" s="1"/>
  <c r="F351" i="19"/>
  <c r="I58" i="7"/>
  <c r="R27" i="41"/>
  <c r="K40" i="13"/>
  <c r="AI6" i="7"/>
  <c r="V44" i="7"/>
  <c r="W3" i="9" s="1"/>
  <c r="W6" i="7"/>
  <c r="W7" i="7"/>
  <c r="J57" i="7"/>
  <c r="L16" i="9" s="1"/>
  <c r="J56" i="7"/>
  <c r="L15" i="9" s="1"/>
  <c r="J55" i="7"/>
  <c r="L14" i="9" s="1"/>
  <c r="J54" i="7"/>
  <c r="L13" i="9" s="1"/>
  <c r="J53" i="7"/>
  <c r="L12" i="9" s="1"/>
  <c r="J52" i="7"/>
  <c r="L11" i="9" s="1"/>
  <c r="J51" i="7"/>
  <c r="L10" i="9" s="1"/>
  <c r="J50" i="7"/>
  <c r="L9" i="9" s="1"/>
  <c r="J49" i="7"/>
  <c r="L8" i="9" s="1"/>
  <c r="J48" i="7"/>
  <c r="L7" i="9" s="1"/>
  <c r="J47" i="7"/>
  <c r="L6" i="9" s="1"/>
  <c r="J46" i="7"/>
  <c r="L5" i="9" s="1"/>
  <c r="J45" i="7"/>
  <c r="L4" i="9" s="1"/>
  <c r="J44" i="7"/>
  <c r="L3" i="9" s="1"/>
  <c r="J43" i="7"/>
  <c r="L2" i="9" s="1"/>
  <c r="K40" i="7"/>
  <c r="AI7" i="7"/>
  <c r="V45" i="7"/>
  <c r="W4" i="9" s="1"/>
  <c r="AI5" i="7"/>
  <c r="AI43" i="7" s="1"/>
  <c r="V43" i="7"/>
  <c r="W2" i="9" s="1"/>
  <c r="L103" i="22"/>
  <c r="F12" i="8" s="1"/>
  <c r="D10" i="11"/>
  <c r="E11" i="15" s="1"/>
  <c r="D32" i="8"/>
  <c r="J1" i="9"/>
  <c r="J2" i="13" s="1"/>
  <c r="J3" i="13" s="1"/>
  <c r="J7" i="13" s="1"/>
  <c r="F36" i="15" s="1"/>
  <c r="D4" i="11"/>
  <c r="E4" i="11"/>
  <c r="F352" i="19"/>
  <c r="E270" i="19"/>
  <c r="G357" i="19"/>
  <c r="H274" i="19"/>
  <c r="M69" i="22"/>
  <c r="J5" i="13"/>
  <c r="K6" i="13"/>
  <c r="G12" i="15" s="1"/>
  <c r="I42" i="7"/>
  <c r="I371" i="43" s="1"/>
  <c r="AA31" i="43" s="1"/>
  <c r="H4" i="7"/>
  <c r="AI9" i="7"/>
  <c r="AI11" i="7"/>
  <c r="AI13" i="7"/>
  <c r="AI15" i="7"/>
  <c r="AI17" i="7"/>
  <c r="AI19" i="7"/>
  <c r="AI8" i="7"/>
  <c r="AI10" i="7"/>
  <c r="AI12" i="7"/>
  <c r="AI14" i="7"/>
  <c r="AI16" i="7"/>
  <c r="AI18" i="7"/>
  <c r="X2" i="7"/>
  <c r="X5" i="7" s="1"/>
  <c r="W19" i="7"/>
  <c r="W57" i="7" s="1"/>
  <c r="X16" i="9" s="1"/>
  <c r="W18" i="7"/>
  <c r="W56" i="7" s="1"/>
  <c r="X15" i="9" s="1"/>
  <c r="W17" i="7"/>
  <c r="W55" i="7" s="1"/>
  <c r="X14" i="9" s="1"/>
  <c r="W16" i="7"/>
  <c r="W54" i="7" s="1"/>
  <c r="X13" i="9" s="1"/>
  <c r="W15" i="7"/>
  <c r="W53" i="7" s="1"/>
  <c r="X12" i="9" s="1"/>
  <c r="W14" i="7"/>
  <c r="W52" i="7" s="1"/>
  <c r="X11" i="9" s="1"/>
  <c r="W12" i="7"/>
  <c r="W50" i="7" s="1"/>
  <c r="X9" i="9" s="1"/>
  <c r="W10" i="7"/>
  <c r="W48" i="7" s="1"/>
  <c r="X7" i="9" s="1"/>
  <c r="W8" i="7"/>
  <c r="W46" i="7" s="1"/>
  <c r="X5" i="9" s="1"/>
  <c r="W13" i="7"/>
  <c r="W51" i="7" s="1"/>
  <c r="X10" i="9" s="1"/>
  <c r="W11" i="7"/>
  <c r="W49" i="7" s="1"/>
  <c r="X8" i="9" s="1"/>
  <c r="W9" i="7"/>
  <c r="W47" i="7" s="1"/>
  <c r="X6" i="9" s="1"/>
  <c r="I8" i="13"/>
  <c r="H2" i="11"/>
  <c r="I262" i="19"/>
  <c r="AE88" i="9" l="1"/>
  <c r="AE120" i="9" s="1"/>
  <c r="AF94" i="9"/>
  <c r="AF126" i="9" s="1"/>
  <c r="H31" i="1"/>
  <c r="J18" i="56" s="1"/>
  <c r="G54" i="56"/>
  <c r="F108" i="56" s="1"/>
  <c r="F127" i="56" s="1"/>
  <c r="D4" i="15"/>
  <c r="F173" i="19"/>
  <c r="H18" i="32"/>
  <c r="F66" i="32"/>
  <c r="O1" i="11"/>
  <c r="O1" i="15" s="1"/>
  <c r="C7" i="15"/>
  <c r="G44" i="51"/>
  <c r="G2" i="15"/>
  <c r="H343" i="19"/>
  <c r="D17" i="51"/>
  <c r="F17" i="51"/>
  <c r="G39" i="32"/>
  <c r="F93" i="32" s="1"/>
  <c r="F110" i="32" s="1"/>
  <c r="S99" i="9"/>
  <c r="S114" i="9" s="1"/>
  <c r="E312" i="19"/>
  <c r="J1" i="51"/>
  <c r="J17" i="51" s="1"/>
  <c r="J163" i="9"/>
  <c r="J16" i="13" s="1"/>
  <c r="E112" i="19"/>
  <c r="AF109" i="9"/>
  <c r="H1" i="10"/>
  <c r="G81" i="56" s="1"/>
  <c r="AP1" i="2"/>
  <c r="G2" i="12" s="1"/>
  <c r="AF106" i="9"/>
  <c r="AF92" i="9"/>
  <c r="AF124" i="9" s="1"/>
  <c r="AF89" i="9"/>
  <c r="AF121" i="9" s="1"/>
  <c r="AF95" i="9"/>
  <c r="AF127" i="9" s="1"/>
  <c r="AF107" i="9"/>
  <c r="AF113" i="9"/>
  <c r="AG113" i="9"/>
  <c r="AH77" i="9"/>
  <c r="AH109" i="9" s="1"/>
  <c r="AH142" i="9"/>
  <c r="AH159" i="9" s="1"/>
  <c r="AG69" i="9"/>
  <c r="AG101" i="9" s="1"/>
  <c r="AG134" i="9"/>
  <c r="AG151" i="9" s="1"/>
  <c r="AG79" i="9"/>
  <c r="AG95" i="9" s="1"/>
  <c r="AG127" i="9" s="1"/>
  <c r="AG144" i="9"/>
  <c r="AG161" i="9" s="1"/>
  <c r="AG71" i="9"/>
  <c r="AG103" i="9" s="1"/>
  <c r="AG136" i="9"/>
  <c r="AG153" i="9" s="1"/>
  <c r="AH76" i="9"/>
  <c r="AH108" i="9" s="1"/>
  <c r="AH43" i="9"/>
  <c r="AH81" i="9"/>
  <c r="AH113" i="9" s="1"/>
  <c r="AH48" i="9"/>
  <c r="AH69" i="9"/>
  <c r="AH101" i="9" s="1"/>
  <c r="AH134" i="9"/>
  <c r="AH151" i="9" s="1"/>
  <c r="AH20" i="9"/>
  <c r="AH52" i="9" s="1"/>
  <c r="AG75" i="9"/>
  <c r="AG107" i="9" s="1"/>
  <c r="AG42" i="9"/>
  <c r="AH70" i="9"/>
  <c r="AH102" i="9" s="1"/>
  <c r="AH37" i="9"/>
  <c r="AG73" i="9"/>
  <c r="AG89" i="9" s="1"/>
  <c r="AG121" i="9" s="1"/>
  <c r="AG24" i="9"/>
  <c r="AG56" i="9" s="1"/>
  <c r="AG138" i="9"/>
  <c r="AG155" i="9" s="1"/>
  <c r="AG77" i="9"/>
  <c r="AG109" i="9" s="1"/>
  <c r="AG142" i="9"/>
  <c r="AG159" i="9" s="1"/>
  <c r="AG44" i="9"/>
  <c r="AH78" i="9"/>
  <c r="AH110" i="9" s="1"/>
  <c r="AH143" i="9"/>
  <c r="AH160" i="9" s="1"/>
  <c r="AH45" i="9"/>
  <c r="V44" i="9"/>
  <c r="S147" i="9"/>
  <c r="AH44" i="9"/>
  <c r="AG36" i="9"/>
  <c r="AG38" i="9"/>
  <c r="AH22" i="9"/>
  <c r="AH54" i="9" s="1"/>
  <c r="AG30" i="9"/>
  <c r="AG62" i="9" s="1"/>
  <c r="AG133" i="9"/>
  <c r="AH136" i="9"/>
  <c r="AH153" i="9" s="1"/>
  <c r="AH141" i="9"/>
  <c r="AH158" i="9" s="1"/>
  <c r="AH146" i="9"/>
  <c r="AH133" i="9"/>
  <c r="AG140" i="9"/>
  <c r="AG157" i="9" s="1"/>
  <c r="AH135" i="9"/>
  <c r="AH152" i="9" s="1"/>
  <c r="AH75" i="9"/>
  <c r="AH107" i="9" s="1"/>
  <c r="AH26" i="9"/>
  <c r="AH58" i="9" s="1"/>
  <c r="AH140" i="9"/>
  <c r="AH157" i="9" s="1"/>
  <c r="AH42" i="9"/>
  <c r="AI54" i="7"/>
  <c r="AI13" i="9" s="1"/>
  <c r="AI50" i="7"/>
  <c r="AI9" i="9" s="1"/>
  <c r="AI46" i="7"/>
  <c r="AI5" i="9" s="1"/>
  <c r="AI55" i="7"/>
  <c r="AI14" i="9" s="1"/>
  <c r="AI51" i="7"/>
  <c r="AI10" i="9" s="1"/>
  <c r="AI47" i="7"/>
  <c r="AI6" i="9" s="1"/>
  <c r="AI45" i="7"/>
  <c r="AI4" i="9" s="1"/>
  <c r="AI44" i="7"/>
  <c r="AI3" i="9" s="1"/>
  <c r="AH49" i="7"/>
  <c r="AH8" i="9" s="1"/>
  <c r="AH56" i="7"/>
  <c r="AH15" i="9" s="1"/>
  <c r="AI56" i="7"/>
  <c r="AI15" i="9" s="1"/>
  <c r="AI52" i="7"/>
  <c r="AI11" i="9" s="1"/>
  <c r="AI48" i="7"/>
  <c r="AI7" i="9" s="1"/>
  <c r="AI57" i="7"/>
  <c r="AI16" i="9" s="1"/>
  <c r="AI53" i="7"/>
  <c r="AI12" i="9" s="1"/>
  <c r="AI49" i="7"/>
  <c r="AI8" i="9" s="1"/>
  <c r="V32" i="9"/>
  <c r="V64" i="9" s="1"/>
  <c r="AG40" i="9"/>
  <c r="AH36" i="9"/>
  <c r="AH29" i="9"/>
  <c r="AH61" i="9" s="1"/>
  <c r="AH28" i="9"/>
  <c r="AH60" i="9" s="1"/>
  <c r="AH32" i="9"/>
  <c r="AH64" i="9" s="1"/>
  <c r="AG20" i="9"/>
  <c r="AG52" i="9" s="1"/>
  <c r="AH21" i="9"/>
  <c r="AH53" i="9" s="1"/>
  <c r="AG22" i="9"/>
  <c r="AG54" i="9" s="1"/>
  <c r="AH38" i="9"/>
  <c r="AH27" i="9"/>
  <c r="AH59" i="9" s="1"/>
  <c r="AG46" i="9"/>
  <c r="AG26" i="9"/>
  <c r="AG58" i="9" s="1"/>
  <c r="AG28" i="9"/>
  <c r="AG60" i="9" s="1"/>
  <c r="AH48" i="7"/>
  <c r="AH7" i="9" s="1"/>
  <c r="AH55" i="7"/>
  <c r="AH14" i="9" s="1"/>
  <c r="AH30" i="9" s="1"/>
  <c r="AH62" i="9" s="1"/>
  <c r="AH50" i="7"/>
  <c r="AH9" i="9" s="1"/>
  <c r="S163" i="9"/>
  <c r="I149" i="9"/>
  <c r="I163" i="9" s="1"/>
  <c r="I16" i="13" s="1"/>
  <c r="V28" i="9"/>
  <c r="V60" i="9" s="1"/>
  <c r="V141" i="9"/>
  <c r="V158" i="9" s="1"/>
  <c r="V108" i="9"/>
  <c r="AF88" i="9"/>
  <c r="AF120" i="9" s="1"/>
  <c r="G370" i="43"/>
  <c r="V17" i="9"/>
  <c r="V43" i="9"/>
  <c r="U105" i="9"/>
  <c r="V111" i="9"/>
  <c r="G4" i="8"/>
  <c r="I147" i="9"/>
  <c r="J33" i="9"/>
  <c r="A45" i="43"/>
  <c r="B45" i="43" s="1"/>
  <c r="C44" i="43"/>
  <c r="D44" i="43" s="1"/>
  <c r="J147" i="9"/>
  <c r="F6" i="11" s="1"/>
  <c r="I65" i="9"/>
  <c r="H275" i="19"/>
  <c r="E37" i="15"/>
  <c r="G363" i="19" s="1"/>
  <c r="F10" i="15"/>
  <c r="F5" i="11"/>
  <c r="J65" i="9"/>
  <c r="G42" i="8"/>
  <c r="F31" i="11" s="1"/>
  <c r="H277" i="19" s="1"/>
  <c r="U82" i="9"/>
  <c r="U168" i="9" s="1"/>
  <c r="U49" i="9"/>
  <c r="I33" i="9"/>
  <c r="U33" i="9"/>
  <c r="H165" i="9"/>
  <c r="G166" i="9"/>
  <c r="I14" i="13"/>
  <c r="K132" i="9"/>
  <c r="K149" i="9" s="1"/>
  <c r="K67" i="9"/>
  <c r="K82" i="9" s="1"/>
  <c r="G5" i="11" s="1"/>
  <c r="K18" i="9"/>
  <c r="K50" i="9" s="1"/>
  <c r="K34" i="9"/>
  <c r="K49" i="9" s="1"/>
  <c r="K14" i="13" s="1"/>
  <c r="W135" i="9"/>
  <c r="W152" i="9" s="1"/>
  <c r="W70" i="9"/>
  <c r="W21" i="9"/>
  <c r="W53" i="9" s="1"/>
  <c r="W37" i="9"/>
  <c r="L136" i="9"/>
  <c r="L153" i="9" s="1"/>
  <c r="L71" i="9"/>
  <c r="L22" i="9"/>
  <c r="L54" i="9" s="1"/>
  <c r="L38" i="9"/>
  <c r="X136" i="9"/>
  <c r="X153" i="9" s="1"/>
  <c r="X71" i="9"/>
  <c r="X22" i="9"/>
  <c r="X54" i="9" s="1"/>
  <c r="X38" i="9"/>
  <c r="L133" i="9"/>
  <c r="L150" i="9" s="1"/>
  <c r="L68" i="9"/>
  <c r="L19" i="9"/>
  <c r="L51" i="9" s="1"/>
  <c r="L35" i="9"/>
  <c r="L135" i="9"/>
  <c r="L152" i="9" s="1"/>
  <c r="L70" i="9"/>
  <c r="L21" i="9"/>
  <c r="L53" i="9" s="1"/>
  <c r="L37" i="9"/>
  <c r="L137" i="9"/>
  <c r="L154" i="9" s="1"/>
  <c r="L72" i="9"/>
  <c r="L23" i="9"/>
  <c r="L55" i="9" s="1"/>
  <c r="L39" i="9"/>
  <c r="W134" i="9"/>
  <c r="W151" i="9" s="1"/>
  <c r="W69" i="9"/>
  <c r="W20" i="9"/>
  <c r="W52" i="9" s="1"/>
  <c r="W36" i="9"/>
  <c r="U65" i="9"/>
  <c r="K17" i="9"/>
  <c r="G4" i="11" s="1"/>
  <c r="V88" i="9"/>
  <c r="V120" i="9" s="1"/>
  <c r="V104" i="9"/>
  <c r="U101" i="9"/>
  <c r="AG102" i="9"/>
  <c r="AG112" i="9"/>
  <c r="AG96" i="9"/>
  <c r="AG128" i="9" s="1"/>
  <c r="AG92" i="9"/>
  <c r="AG124" i="9" s="1"/>
  <c r="AG108" i="9"/>
  <c r="AG104" i="9"/>
  <c r="AG88" i="9"/>
  <c r="AG120" i="9" s="1"/>
  <c r="K102" i="9"/>
  <c r="K86" i="9"/>
  <c r="K118" i="9" s="1"/>
  <c r="AF103" i="9"/>
  <c r="T88" i="9"/>
  <c r="T120" i="9" s="1"/>
  <c r="T104" i="9"/>
  <c r="T101" i="9"/>
  <c r="AG110" i="9"/>
  <c r="AG94" i="9"/>
  <c r="AG126" i="9" s="1"/>
  <c r="AG106" i="9"/>
  <c r="AG90" i="9"/>
  <c r="AG122" i="9" s="1"/>
  <c r="U102" i="9"/>
  <c r="U100" i="9"/>
  <c r="V101" i="9"/>
  <c r="U104" i="9"/>
  <c r="U88" i="9"/>
  <c r="U120" i="9" s="1"/>
  <c r="K103" i="9"/>
  <c r="K87" i="9"/>
  <c r="K119" i="9" s="1"/>
  <c r="K85" i="9"/>
  <c r="K117" i="9" s="1"/>
  <c r="K101" i="9"/>
  <c r="J83" i="9"/>
  <c r="J115" i="9" s="1"/>
  <c r="J99" i="9"/>
  <c r="J114" i="9" s="1"/>
  <c r="J15" i="13" s="1"/>
  <c r="AH103" i="9"/>
  <c r="W103" i="9"/>
  <c r="W87" i="9"/>
  <c r="W119" i="9" s="1"/>
  <c r="K88" i="9"/>
  <c r="K120" i="9" s="1"/>
  <c r="K104" i="9"/>
  <c r="K84" i="9"/>
  <c r="K116" i="9" s="1"/>
  <c r="K100" i="9"/>
  <c r="AE103" i="9"/>
  <c r="W88" i="9"/>
  <c r="W120" i="9" s="1"/>
  <c r="W104" i="9"/>
  <c r="X137" i="9"/>
  <c r="X154" i="9" s="1"/>
  <c r="X72" i="9"/>
  <c r="X23" i="9"/>
  <c r="X55" i="9" s="1"/>
  <c r="X39" i="9"/>
  <c r="W133" i="9"/>
  <c r="W150" i="9" s="1"/>
  <c r="W68" i="9"/>
  <c r="W19" i="9"/>
  <c r="W51" i="9" s="1"/>
  <c r="W35" i="9"/>
  <c r="L134" i="9"/>
  <c r="L151" i="9" s="1"/>
  <c r="L69" i="9"/>
  <c r="L20" i="9"/>
  <c r="L52" i="9" s="1"/>
  <c r="L36" i="9"/>
  <c r="I83" i="9"/>
  <c r="I115" i="9" s="1"/>
  <c r="I99" i="9"/>
  <c r="I114" i="9" s="1"/>
  <c r="I15" i="13" s="1"/>
  <c r="U99" i="9"/>
  <c r="V102" i="9"/>
  <c r="V132" i="9"/>
  <c r="V149" i="9" s="1"/>
  <c r="V67" i="9"/>
  <c r="V82" i="9" s="1"/>
  <c r="V18" i="9"/>
  <c r="V50" i="9" s="1"/>
  <c r="V34" i="9"/>
  <c r="V100" i="9"/>
  <c r="X139" i="9"/>
  <c r="X156" i="9" s="1"/>
  <c r="X74" i="9"/>
  <c r="X25" i="9"/>
  <c r="X57" i="9" s="1"/>
  <c r="X41" i="9"/>
  <c r="X140" i="9"/>
  <c r="X157" i="9" s="1"/>
  <c r="X75" i="9"/>
  <c r="X26" i="9"/>
  <c r="X58" i="9" s="1"/>
  <c r="X42" i="9"/>
  <c r="X143" i="9"/>
  <c r="X160" i="9" s="1"/>
  <c r="X78" i="9"/>
  <c r="X29" i="9"/>
  <c r="X61" i="9" s="1"/>
  <c r="X45" i="9"/>
  <c r="X145" i="9"/>
  <c r="X162" i="9" s="1"/>
  <c r="X80" i="9"/>
  <c r="X31" i="9"/>
  <c r="X63" i="9" s="1"/>
  <c r="X47" i="9"/>
  <c r="L139" i="9"/>
  <c r="L156" i="9" s="1"/>
  <c r="L74" i="9"/>
  <c r="L25" i="9"/>
  <c r="L57" i="9" s="1"/>
  <c r="L41" i="9"/>
  <c r="L141" i="9"/>
  <c r="L158" i="9" s="1"/>
  <c r="L76" i="9"/>
  <c r="L27" i="9"/>
  <c r="L59" i="9" s="1"/>
  <c r="L43" i="9"/>
  <c r="L143" i="9"/>
  <c r="L160" i="9" s="1"/>
  <c r="L78" i="9"/>
  <c r="L29" i="9"/>
  <c r="L61" i="9" s="1"/>
  <c r="L45" i="9"/>
  <c r="L145" i="9"/>
  <c r="L162" i="9" s="1"/>
  <c r="L80" i="9"/>
  <c r="L31" i="9"/>
  <c r="L63" i="9" s="1"/>
  <c r="L47" i="9"/>
  <c r="U121" i="9"/>
  <c r="S121" i="9"/>
  <c r="S168" i="9"/>
  <c r="J121" i="9"/>
  <c r="T56" i="9"/>
  <c r="T89" i="9"/>
  <c r="T105" i="9"/>
  <c r="T82" i="9"/>
  <c r="T94" i="9"/>
  <c r="T126" i="9" s="1"/>
  <c r="T110" i="9"/>
  <c r="V97" i="9"/>
  <c r="V129" i="9" s="1"/>
  <c r="V113" i="9"/>
  <c r="T112" i="9"/>
  <c r="T96" i="9"/>
  <c r="T128" i="9" s="1"/>
  <c r="U112" i="9"/>
  <c r="U96" i="9"/>
  <c r="U128" i="9" s="1"/>
  <c r="U108" i="9"/>
  <c r="U92" i="9"/>
  <c r="U124" i="9" s="1"/>
  <c r="K107" i="9"/>
  <c r="K91" i="9"/>
  <c r="K123" i="9" s="1"/>
  <c r="K155" i="9"/>
  <c r="U163" i="9"/>
  <c r="I168" i="9"/>
  <c r="H114" i="9"/>
  <c r="V155" i="9"/>
  <c r="U106" i="9"/>
  <c r="U90" i="9"/>
  <c r="U122" i="9" s="1"/>
  <c r="K106" i="9"/>
  <c r="K90" i="9"/>
  <c r="K122" i="9" s="1"/>
  <c r="W106" i="9"/>
  <c r="W90" i="9"/>
  <c r="W122" i="9" s="1"/>
  <c r="W56" i="9"/>
  <c r="W155" i="9"/>
  <c r="X141" i="9"/>
  <c r="X158" i="9" s="1"/>
  <c r="X76" i="9"/>
  <c r="X27" i="9"/>
  <c r="X59" i="9" s="1"/>
  <c r="X43" i="9"/>
  <c r="X138" i="9"/>
  <c r="X73" i="9"/>
  <c r="X24" i="9"/>
  <c r="X40" i="9"/>
  <c r="X142" i="9"/>
  <c r="X159" i="9" s="1"/>
  <c r="X77" i="9"/>
  <c r="X28" i="9"/>
  <c r="X60" i="9" s="1"/>
  <c r="X44" i="9"/>
  <c r="X144" i="9"/>
  <c r="X161" i="9" s="1"/>
  <c r="X79" i="9"/>
  <c r="X30" i="9"/>
  <c r="X62" i="9" s="1"/>
  <c r="X46" i="9"/>
  <c r="X146" i="9"/>
  <c r="X81" i="9"/>
  <c r="X32" i="9"/>
  <c r="X64" i="9" s="1"/>
  <c r="X48" i="9"/>
  <c r="L138" i="9"/>
  <c r="L73" i="9"/>
  <c r="L17" i="9"/>
  <c r="L24" i="9"/>
  <c r="L40" i="9"/>
  <c r="L140" i="9"/>
  <c r="L157" i="9" s="1"/>
  <c r="L75" i="9"/>
  <c r="L26" i="9"/>
  <c r="L58" i="9" s="1"/>
  <c r="L42" i="9"/>
  <c r="L142" i="9"/>
  <c r="L159" i="9" s="1"/>
  <c r="L77" i="9"/>
  <c r="L28" i="9"/>
  <c r="L60" i="9" s="1"/>
  <c r="L44" i="9"/>
  <c r="L144" i="9"/>
  <c r="L161" i="9" s="1"/>
  <c r="L79" i="9"/>
  <c r="L30" i="9"/>
  <c r="L62" i="9" s="1"/>
  <c r="L46" i="9"/>
  <c r="L146" i="9"/>
  <c r="L81" i="9"/>
  <c r="L32" i="9"/>
  <c r="L64" i="9" s="1"/>
  <c r="L48" i="9"/>
  <c r="V93" i="9"/>
  <c r="V125" i="9" s="1"/>
  <c r="V109" i="9"/>
  <c r="V94" i="9"/>
  <c r="V126" i="9" s="1"/>
  <c r="V110" i="9"/>
  <c r="T49" i="9"/>
  <c r="T155" i="9"/>
  <c r="T163" i="9" s="1"/>
  <c r="T147" i="9"/>
  <c r="V91" i="9"/>
  <c r="V123" i="9" s="1"/>
  <c r="V107" i="9"/>
  <c r="K56" i="9"/>
  <c r="K105" i="9"/>
  <c r="K89" i="9"/>
  <c r="K96" i="9"/>
  <c r="K128" i="9" s="1"/>
  <c r="K112" i="9"/>
  <c r="K94" i="9"/>
  <c r="K126" i="9" s="1"/>
  <c r="K110" i="9"/>
  <c r="W113" i="9"/>
  <c r="W97" i="9"/>
  <c r="W129" i="9" s="1"/>
  <c r="W107" i="9"/>
  <c r="W91" i="9"/>
  <c r="W123" i="9" s="1"/>
  <c r="U147" i="9"/>
  <c r="I121" i="9"/>
  <c r="H168" i="9"/>
  <c r="H121" i="9"/>
  <c r="H130" i="9" s="1"/>
  <c r="H98" i="9"/>
  <c r="V56" i="9"/>
  <c r="V89" i="9"/>
  <c r="V105" i="9"/>
  <c r="V90" i="9"/>
  <c r="V122" i="9" s="1"/>
  <c r="V106" i="9"/>
  <c r="V96" i="9"/>
  <c r="V128" i="9" s="1"/>
  <c r="V112" i="9"/>
  <c r="T90" i="9"/>
  <c r="T122" i="9" s="1"/>
  <c r="T106" i="9"/>
  <c r="T93" i="9"/>
  <c r="T125" i="9" s="1"/>
  <c r="T109" i="9"/>
  <c r="T91" i="9"/>
  <c r="T123" i="9" s="1"/>
  <c r="T107" i="9"/>
  <c r="U110" i="9"/>
  <c r="U94" i="9"/>
  <c r="U126" i="9" s="1"/>
  <c r="K108" i="9"/>
  <c r="K92" i="9"/>
  <c r="K124" i="9" s="1"/>
  <c r="K97" i="9"/>
  <c r="K129" i="9" s="1"/>
  <c r="K113" i="9"/>
  <c r="K111" i="9"/>
  <c r="K95" i="9"/>
  <c r="K127" i="9" s="1"/>
  <c r="K93" i="9"/>
  <c r="K125" i="9" s="1"/>
  <c r="K109" i="9"/>
  <c r="W96" i="9"/>
  <c r="W128" i="9" s="1"/>
  <c r="W112" i="9"/>
  <c r="W110" i="9"/>
  <c r="W94" i="9"/>
  <c r="W126" i="9" s="1"/>
  <c r="W92" i="9"/>
  <c r="W124" i="9" s="1"/>
  <c r="W108" i="9"/>
  <c r="W95" i="9"/>
  <c r="W127" i="9" s="1"/>
  <c r="W111" i="9"/>
  <c r="W93" i="9"/>
  <c r="W125" i="9" s="1"/>
  <c r="W109" i="9"/>
  <c r="W89" i="9"/>
  <c r="W105" i="9"/>
  <c r="H357" i="19"/>
  <c r="C4" i="11"/>
  <c r="J50" i="13"/>
  <c r="J51" i="13" s="1"/>
  <c r="J52" i="13" s="1"/>
  <c r="J70" i="13"/>
  <c r="J72" i="13" s="1"/>
  <c r="J39" i="13"/>
  <c r="J64" i="13"/>
  <c r="G11" i="8"/>
  <c r="I31" i="8"/>
  <c r="G29" i="11"/>
  <c r="G30" i="15" s="1"/>
  <c r="I29" i="8"/>
  <c r="G27" i="11"/>
  <c r="G28" i="15" s="1"/>
  <c r="I30" i="8"/>
  <c r="G28" i="11"/>
  <c r="G29" i="15" s="1"/>
  <c r="D42" i="8"/>
  <c r="C31" i="11" s="1"/>
  <c r="F4" i="8"/>
  <c r="F42" i="8"/>
  <c r="E31" i="11" s="1"/>
  <c r="E4" i="8"/>
  <c r="E42" i="8"/>
  <c r="D31" i="11" s="1"/>
  <c r="F277" i="19" s="1"/>
  <c r="J26" i="8"/>
  <c r="I24" i="11" s="1"/>
  <c r="I25" i="15" s="1"/>
  <c r="H20" i="11"/>
  <c r="H21" i="15" s="1"/>
  <c r="E273" i="19"/>
  <c r="E355" i="19"/>
  <c r="G17" i="13"/>
  <c r="G271" i="19"/>
  <c r="F354" i="19"/>
  <c r="F272" i="19"/>
  <c r="E32" i="8"/>
  <c r="J28" i="8"/>
  <c r="I26" i="11" s="1"/>
  <c r="I27" i="15" s="1"/>
  <c r="I24" i="8"/>
  <c r="H22" i="11" s="1"/>
  <c r="H23" i="15" s="1"/>
  <c r="H18" i="11"/>
  <c r="H19" i="15" s="1"/>
  <c r="I27" i="8"/>
  <c r="H25" i="11" s="1"/>
  <c r="H26" i="15" s="1"/>
  <c r="I25" i="8"/>
  <c r="H23" i="11" s="1"/>
  <c r="H24" i="15" s="1"/>
  <c r="H21" i="11"/>
  <c r="H19" i="11"/>
  <c r="H20" i="15" s="1"/>
  <c r="H17" i="11"/>
  <c r="H18" i="15" s="1"/>
  <c r="F353" i="19"/>
  <c r="H17" i="13"/>
  <c r="L13" i="11"/>
  <c r="L14" i="15" s="1"/>
  <c r="AH12" i="11"/>
  <c r="AH13" i="15" s="1"/>
  <c r="W11" i="11"/>
  <c r="L16" i="11"/>
  <c r="L17" i="15" s="1"/>
  <c r="L14" i="11"/>
  <c r="L15" i="15" s="1"/>
  <c r="T10" i="8"/>
  <c r="AF10" i="8"/>
  <c r="H10" i="8"/>
  <c r="H14" i="13"/>
  <c r="S27" i="41"/>
  <c r="J58" i="7"/>
  <c r="AJ6" i="7"/>
  <c r="W44" i="7"/>
  <c r="X3" i="9" s="1"/>
  <c r="X6" i="7"/>
  <c r="X7" i="7"/>
  <c r="H22" i="7"/>
  <c r="K57" i="7"/>
  <c r="M16" i="9" s="1"/>
  <c r="K56" i="7"/>
  <c r="M15" i="9" s="1"/>
  <c r="K55" i="7"/>
  <c r="M14" i="9" s="1"/>
  <c r="K54" i="7"/>
  <c r="M13" i="9" s="1"/>
  <c r="K53" i="7"/>
  <c r="M12" i="9" s="1"/>
  <c r="K52" i="7"/>
  <c r="M11" i="9" s="1"/>
  <c r="K51" i="7"/>
  <c r="M10" i="9" s="1"/>
  <c r="K50" i="7"/>
  <c r="M9" i="9" s="1"/>
  <c r="K49" i="7"/>
  <c r="M8" i="9" s="1"/>
  <c r="K48" i="7"/>
  <c r="M7" i="9" s="1"/>
  <c r="K47" i="7"/>
  <c r="M6" i="9" s="1"/>
  <c r="K46" i="7"/>
  <c r="M5" i="9" s="1"/>
  <c r="K45" i="7"/>
  <c r="M4" i="9" s="1"/>
  <c r="K44" i="7"/>
  <c r="M3" i="9" s="1"/>
  <c r="K43" i="7"/>
  <c r="M2" i="9" s="1"/>
  <c r="L40" i="7"/>
  <c r="AJ7" i="7"/>
  <c r="W45" i="7"/>
  <c r="X4" i="9" s="1"/>
  <c r="W43" i="7"/>
  <c r="X2" i="9" s="1"/>
  <c r="AJ5" i="7"/>
  <c r="AJ43" i="7" s="1"/>
  <c r="G351" i="19"/>
  <c r="K1" i="9"/>
  <c r="K2" i="13" s="1"/>
  <c r="K3" i="13" s="1"/>
  <c r="K7" i="13" s="1"/>
  <c r="G36" i="15" s="1"/>
  <c r="G14" i="13"/>
  <c r="C116" i="19"/>
  <c r="G6" i="8"/>
  <c r="E5" i="11"/>
  <c r="D5" i="11"/>
  <c r="C5" i="11"/>
  <c r="H356" i="19"/>
  <c r="I274" i="19"/>
  <c r="I356" i="19"/>
  <c r="M103" i="22"/>
  <c r="G12" i="8" s="1"/>
  <c r="N69" i="22"/>
  <c r="K5" i="13"/>
  <c r="E10" i="11"/>
  <c r="F11" i="15" s="1"/>
  <c r="L6" i="13"/>
  <c r="H12" i="15" s="1"/>
  <c r="J42" i="7"/>
  <c r="J371" i="43" s="1"/>
  <c r="AB31" i="43" s="1"/>
  <c r="I4" i="7"/>
  <c r="AJ11" i="7"/>
  <c r="AJ10" i="7"/>
  <c r="AJ14" i="7"/>
  <c r="AJ16" i="7"/>
  <c r="AJ18" i="7"/>
  <c r="Y2" i="7"/>
  <c r="X19" i="7"/>
  <c r="X57" i="7" s="1"/>
  <c r="Y16" i="9" s="1"/>
  <c r="X18" i="7"/>
  <c r="X56" i="7" s="1"/>
  <c r="Y15" i="9" s="1"/>
  <c r="X17" i="7"/>
  <c r="X55" i="7" s="1"/>
  <c r="Y14" i="9" s="1"/>
  <c r="X16" i="7"/>
  <c r="X54" i="7" s="1"/>
  <c r="Y13" i="9" s="1"/>
  <c r="X15" i="7"/>
  <c r="X53" i="7" s="1"/>
  <c r="Y12" i="9" s="1"/>
  <c r="X14" i="7"/>
  <c r="X52" i="7" s="1"/>
  <c r="Y11" i="9" s="1"/>
  <c r="X13" i="7"/>
  <c r="X51" i="7" s="1"/>
  <c r="Y10" i="9" s="1"/>
  <c r="X12" i="7"/>
  <c r="X50" i="7" s="1"/>
  <c r="Y9" i="9" s="1"/>
  <c r="X11" i="7"/>
  <c r="X49" i="7" s="1"/>
  <c r="Y8" i="9" s="1"/>
  <c r="X10" i="7"/>
  <c r="X48" i="7" s="1"/>
  <c r="Y7" i="9" s="1"/>
  <c r="X9" i="7"/>
  <c r="X47" i="7" s="1"/>
  <c r="Y6" i="9" s="1"/>
  <c r="X8" i="7"/>
  <c r="X46" i="7" s="1"/>
  <c r="Y5" i="9" s="1"/>
  <c r="AJ9" i="7"/>
  <c r="AJ13" i="7"/>
  <c r="AJ8" i="7"/>
  <c r="AJ12" i="7"/>
  <c r="AJ15" i="7"/>
  <c r="AJ17" i="7"/>
  <c r="AJ19" i="7"/>
  <c r="I2" i="11"/>
  <c r="J262" i="19"/>
  <c r="J8" i="13"/>
  <c r="AG93" i="9" l="1"/>
  <c r="AG125" i="9" s="1"/>
  <c r="I71" i="13"/>
  <c r="G173" i="19"/>
  <c r="I18" i="32"/>
  <c r="I31" i="1"/>
  <c r="K18" i="56" s="1"/>
  <c r="I54" i="56"/>
  <c r="G108" i="56" s="1"/>
  <c r="G127" i="56" s="1"/>
  <c r="E4" i="15"/>
  <c r="E5" i="15" s="1"/>
  <c r="L1" i="51"/>
  <c r="L17" i="51" s="1"/>
  <c r="D7" i="15"/>
  <c r="G66" i="32"/>
  <c r="F4" i="15"/>
  <c r="F5" i="15" s="1"/>
  <c r="H346" i="19" s="1"/>
  <c r="H44" i="51"/>
  <c r="H2" i="15"/>
  <c r="I343" i="19"/>
  <c r="G312" i="19"/>
  <c r="AA1" i="11"/>
  <c r="AA1" i="15" s="1"/>
  <c r="AH93" i="9"/>
  <c r="AH125" i="9" s="1"/>
  <c r="I39" i="32"/>
  <c r="G93" i="32" s="1"/>
  <c r="G110" i="32" s="1"/>
  <c r="G112" i="19"/>
  <c r="I165" i="9"/>
  <c r="AG105" i="9"/>
  <c r="AG91" i="9"/>
  <c r="AG123" i="9" s="1"/>
  <c r="AG111" i="9"/>
  <c r="AH92" i="9"/>
  <c r="AH124" i="9" s="1"/>
  <c r="V49" i="9"/>
  <c r="AH97" i="9"/>
  <c r="AH129" i="9" s="1"/>
  <c r="L15" i="11"/>
  <c r="L16" i="15" s="1"/>
  <c r="AH91" i="9"/>
  <c r="AH123" i="9" s="1"/>
  <c r="AH94" i="9"/>
  <c r="AH126" i="9" s="1"/>
  <c r="AH39" i="9"/>
  <c r="AH72" i="9"/>
  <c r="AH88" i="9" s="1"/>
  <c r="AH120" i="9" s="1"/>
  <c r="AH23" i="9"/>
  <c r="AH55" i="9" s="1"/>
  <c r="AI142" i="9"/>
  <c r="AI159" i="9" s="1"/>
  <c r="AI77" i="9"/>
  <c r="AI93" i="9" s="1"/>
  <c r="AI125" i="9" s="1"/>
  <c r="AI44" i="9"/>
  <c r="AI137" i="9"/>
  <c r="AI154" i="9" s="1"/>
  <c r="AI72" i="9"/>
  <c r="AI88" i="9" s="1"/>
  <c r="AI120" i="9" s="1"/>
  <c r="AI23" i="9"/>
  <c r="AI55" i="9" s="1"/>
  <c r="AI145" i="9"/>
  <c r="AI162" i="9" s="1"/>
  <c r="AI80" i="9"/>
  <c r="AI112" i="9" s="1"/>
  <c r="AI31" i="9"/>
  <c r="AI63" i="9" s="1"/>
  <c r="AH24" i="9"/>
  <c r="AH56" i="9" s="1"/>
  <c r="AH73" i="9"/>
  <c r="AH89" i="9" s="1"/>
  <c r="AH121" i="9" s="1"/>
  <c r="AI134" i="9"/>
  <c r="AI151" i="9" s="1"/>
  <c r="AI20" i="9"/>
  <c r="AI52" i="9" s="1"/>
  <c r="AI69" i="9"/>
  <c r="AI85" i="9" s="1"/>
  <c r="AI117" i="9" s="1"/>
  <c r="AI140" i="9"/>
  <c r="AI157" i="9" s="1"/>
  <c r="AI75" i="9"/>
  <c r="AI107" i="9" s="1"/>
  <c r="AI26" i="9"/>
  <c r="AI58" i="9" s="1"/>
  <c r="AI135" i="9"/>
  <c r="AI152" i="9" s="1"/>
  <c r="AI37" i="9"/>
  <c r="AI70" i="9"/>
  <c r="AI86" i="9" s="1"/>
  <c r="AI118" i="9" s="1"/>
  <c r="AI143" i="9"/>
  <c r="AI160" i="9" s="1"/>
  <c r="AI45" i="9"/>
  <c r="AI78" i="9"/>
  <c r="AI110" i="9" s="1"/>
  <c r="AI138" i="9"/>
  <c r="AI155" i="9" s="1"/>
  <c r="AI73" i="9"/>
  <c r="AI105" i="9" s="1"/>
  <c r="AI40" i="9"/>
  <c r="AI146" i="9"/>
  <c r="AI81" i="9"/>
  <c r="AI97" i="9" s="1"/>
  <c r="AI129" i="9" s="1"/>
  <c r="AI48" i="9"/>
  <c r="AI141" i="9"/>
  <c r="AI158" i="9" s="1"/>
  <c r="AI43" i="9"/>
  <c r="AI76" i="9"/>
  <c r="AI92" i="9" s="1"/>
  <c r="AI124" i="9" s="1"/>
  <c r="AI133" i="9"/>
  <c r="AI68" i="9"/>
  <c r="AI136" i="9"/>
  <c r="AI153" i="9" s="1"/>
  <c r="AI71" i="9"/>
  <c r="AI87" i="9" s="1"/>
  <c r="AI119" i="9" s="1"/>
  <c r="AI38" i="9"/>
  <c r="AI144" i="9"/>
  <c r="AI161" i="9" s="1"/>
  <c r="AI79" i="9"/>
  <c r="AI95" i="9" s="1"/>
  <c r="AI127" i="9" s="1"/>
  <c r="AI46" i="9"/>
  <c r="AI139" i="9"/>
  <c r="AI156" i="9" s="1"/>
  <c r="AI74" i="9"/>
  <c r="AI90" i="9" s="1"/>
  <c r="AI122" i="9" s="1"/>
  <c r="AI41" i="9"/>
  <c r="AJ55" i="7"/>
  <c r="AJ14" i="9" s="1"/>
  <c r="AJ50" i="7"/>
  <c r="AJ9" i="9" s="1"/>
  <c r="AJ139" i="9" s="1"/>
  <c r="AJ156" i="9" s="1"/>
  <c r="AJ51" i="7"/>
  <c r="AJ10" i="9" s="1"/>
  <c r="AJ54" i="7"/>
  <c r="AJ13" i="9" s="1"/>
  <c r="AJ48" i="7"/>
  <c r="AJ7" i="9" s="1"/>
  <c r="AJ45" i="7"/>
  <c r="AJ4" i="9" s="1"/>
  <c r="AJ134" i="9" s="1"/>
  <c r="AJ151" i="9" s="1"/>
  <c r="AJ44" i="7"/>
  <c r="AJ3" i="9" s="1"/>
  <c r="AH74" i="9"/>
  <c r="AH41" i="9"/>
  <c r="AH139" i="9"/>
  <c r="AH156" i="9" s="1"/>
  <c r="AH25" i="9"/>
  <c r="AH57" i="9" s="1"/>
  <c r="AH144" i="9"/>
  <c r="AH161" i="9" s="1"/>
  <c r="AH46" i="9"/>
  <c r="AH80" i="9"/>
  <c r="AH47" i="9"/>
  <c r="AH145" i="9"/>
  <c r="AH162" i="9" s="1"/>
  <c r="AH31" i="9"/>
  <c r="AH63" i="9" s="1"/>
  <c r="AJ57" i="7"/>
  <c r="AJ16" i="9" s="1"/>
  <c r="AJ146" i="9" s="1"/>
  <c r="AJ53" i="7"/>
  <c r="AJ12" i="9" s="1"/>
  <c r="AJ46" i="7"/>
  <c r="AJ5" i="9" s="1"/>
  <c r="AJ47" i="7"/>
  <c r="AJ6" i="9" s="1"/>
  <c r="AJ56" i="7"/>
  <c r="AJ15" i="9" s="1"/>
  <c r="AJ52" i="7"/>
  <c r="AJ11" i="9" s="1"/>
  <c r="AJ49" i="7"/>
  <c r="AJ8" i="9" s="1"/>
  <c r="AJ138" i="9" s="1"/>
  <c r="AJ155" i="9" s="1"/>
  <c r="AI36" i="9"/>
  <c r="AI39" i="9"/>
  <c r="AI47" i="9"/>
  <c r="AI42" i="9"/>
  <c r="AI21" i="9"/>
  <c r="AI53" i="9" s="1"/>
  <c r="AI25" i="9"/>
  <c r="AI57" i="9" s="1"/>
  <c r="AI29" i="9"/>
  <c r="AI61" i="9" s="1"/>
  <c r="AI24" i="9"/>
  <c r="AI56" i="9" s="1"/>
  <c r="AI28" i="9"/>
  <c r="AI60" i="9" s="1"/>
  <c r="AI32" i="9"/>
  <c r="AI64" i="9" s="1"/>
  <c r="AI27" i="9"/>
  <c r="AI59" i="9" s="1"/>
  <c r="AI22" i="9"/>
  <c r="AI54" i="9" s="1"/>
  <c r="AI30" i="9"/>
  <c r="AI62" i="9" s="1"/>
  <c r="AH40" i="9"/>
  <c r="AH137" i="9"/>
  <c r="AH154" i="9" s="1"/>
  <c r="AH138" i="9"/>
  <c r="AH155" i="9" s="1"/>
  <c r="AH79" i="9"/>
  <c r="K163" i="9"/>
  <c r="K16" i="13" s="1"/>
  <c r="H370" i="43"/>
  <c r="H4" i="8"/>
  <c r="V33" i="9"/>
  <c r="J165" i="9"/>
  <c r="F8" i="15"/>
  <c r="H349" i="19" s="1"/>
  <c r="F7" i="11"/>
  <c r="G8" i="8"/>
  <c r="K147" i="9"/>
  <c r="A46" i="43"/>
  <c r="B46" i="43" s="1"/>
  <c r="C45" i="43"/>
  <c r="D45" i="43" s="1"/>
  <c r="G277" i="19"/>
  <c r="H22" i="15"/>
  <c r="V65" i="9"/>
  <c r="I98" i="9"/>
  <c r="F37" i="15"/>
  <c r="H363" i="19" s="1"/>
  <c r="G10" i="15"/>
  <c r="U165" i="9"/>
  <c r="K33" i="9"/>
  <c r="I130" i="9"/>
  <c r="U114" i="9"/>
  <c r="H42" i="8"/>
  <c r="G31" i="11" s="1"/>
  <c r="I277" i="19" s="1"/>
  <c r="K65" i="9"/>
  <c r="J130" i="9"/>
  <c r="V163" i="9"/>
  <c r="V147" i="9"/>
  <c r="X135" i="9"/>
  <c r="X152" i="9" s="1"/>
  <c r="X70" i="9"/>
  <c r="X21" i="9"/>
  <c r="X53" i="9" s="1"/>
  <c r="X37" i="9"/>
  <c r="M134" i="9"/>
  <c r="M151" i="9" s="1"/>
  <c r="M69" i="9"/>
  <c r="M20" i="9"/>
  <c r="M52" i="9" s="1"/>
  <c r="M36" i="9"/>
  <c r="Y137" i="9"/>
  <c r="Y154" i="9" s="1"/>
  <c r="Y72" i="9"/>
  <c r="Y23" i="9"/>
  <c r="Y55" i="9" s="1"/>
  <c r="Y39" i="9"/>
  <c r="L132" i="9"/>
  <c r="L67" i="9"/>
  <c r="L82" i="9" s="1"/>
  <c r="L18" i="9"/>
  <c r="L50" i="9" s="1"/>
  <c r="L34" i="9"/>
  <c r="L49" i="9" s="1"/>
  <c r="X133" i="9"/>
  <c r="X150" i="9" s="1"/>
  <c r="X68" i="9"/>
  <c r="X19" i="9"/>
  <c r="X51" i="9" s="1"/>
  <c r="X35" i="9"/>
  <c r="M133" i="9"/>
  <c r="M150" i="9" s="1"/>
  <c r="M68" i="9"/>
  <c r="M35" i="9"/>
  <c r="M19" i="9"/>
  <c r="M51" i="9" s="1"/>
  <c r="M135" i="9"/>
  <c r="M152" i="9" s="1"/>
  <c r="M70" i="9"/>
  <c r="M37" i="9"/>
  <c r="M21" i="9"/>
  <c r="M53" i="9" s="1"/>
  <c r="M137" i="9"/>
  <c r="M154" i="9" s="1"/>
  <c r="M72" i="9"/>
  <c r="M23" i="9"/>
  <c r="M55" i="9" s="1"/>
  <c r="M39" i="9"/>
  <c r="X134" i="9"/>
  <c r="X151" i="9" s="1"/>
  <c r="X69" i="9"/>
  <c r="X20" i="9"/>
  <c r="X52" i="9" s="1"/>
  <c r="X36" i="9"/>
  <c r="H166" i="9"/>
  <c r="J98" i="9"/>
  <c r="L101" i="9"/>
  <c r="L85" i="9"/>
  <c r="L117" i="9" s="1"/>
  <c r="W84" i="9"/>
  <c r="W116" i="9" s="1"/>
  <c r="W100" i="9"/>
  <c r="X104" i="9"/>
  <c r="X88" i="9"/>
  <c r="X120" i="9" s="1"/>
  <c r="W132" i="9"/>
  <c r="W67" i="9"/>
  <c r="W18" i="9"/>
  <c r="W34" i="9"/>
  <c r="W49" i="9" s="1"/>
  <c r="W17" i="9"/>
  <c r="W85" i="9"/>
  <c r="W117" i="9" s="1"/>
  <c r="W101" i="9"/>
  <c r="L104" i="9"/>
  <c r="L88" i="9"/>
  <c r="L120" i="9" s="1"/>
  <c r="L86" i="9"/>
  <c r="L118" i="9" s="1"/>
  <c r="L102" i="9"/>
  <c r="L84" i="9"/>
  <c r="L116" i="9" s="1"/>
  <c r="L100" i="9"/>
  <c r="X87" i="9"/>
  <c r="X119" i="9" s="1"/>
  <c r="X103" i="9"/>
  <c r="L103" i="9"/>
  <c r="L87" i="9"/>
  <c r="L119" i="9" s="1"/>
  <c r="W102" i="9"/>
  <c r="W86" i="9"/>
  <c r="W118" i="9" s="1"/>
  <c r="K99" i="9"/>
  <c r="K114" i="9" s="1"/>
  <c r="K83" i="9"/>
  <c r="K115" i="9" s="1"/>
  <c r="Y136" i="9"/>
  <c r="Y153" i="9" s="1"/>
  <c r="Y71" i="9"/>
  <c r="Y22" i="9"/>
  <c r="Y54" i="9" s="1"/>
  <c r="Y38" i="9"/>
  <c r="M136" i="9"/>
  <c r="M153" i="9" s="1"/>
  <c r="M71" i="9"/>
  <c r="M22" i="9"/>
  <c r="M54" i="9" s="1"/>
  <c r="M38" i="9"/>
  <c r="T114" i="9"/>
  <c r="V99" i="9"/>
  <c r="V114" i="9" s="1"/>
  <c r="Y73" i="9"/>
  <c r="Y138" i="9"/>
  <c r="Y24" i="9"/>
  <c r="Y40" i="9"/>
  <c r="Y142" i="9"/>
  <c r="Y159" i="9" s="1"/>
  <c r="Y77" i="9"/>
  <c r="Y28" i="9"/>
  <c r="Y60" i="9" s="1"/>
  <c r="Y44" i="9"/>
  <c r="Y146" i="9"/>
  <c r="Y81" i="9"/>
  <c r="Y32" i="9"/>
  <c r="Y64" i="9" s="1"/>
  <c r="Y48" i="9"/>
  <c r="Y74" i="9"/>
  <c r="Y139" i="9"/>
  <c r="Y156" i="9" s="1"/>
  <c r="Y25" i="9"/>
  <c r="Y57" i="9" s="1"/>
  <c r="Y41" i="9"/>
  <c r="Y141" i="9"/>
  <c r="Y158" i="9" s="1"/>
  <c r="Y76" i="9"/>
  <c r="Y43" i="9"/>
  <c r="Y27" i="9"/>
  <c r="Y59" i="9" s="1"/>
  <c r="Y143" i="9"/>
  <c r="Y160" i="9" s="1"/>
  <c r="Y78" i="9"/>
  <c r="Y45" i="9"/>
  <c r="Y29" i="9"/>
  <c r="Y61" i="9" s="1"/>
  <c r="Y145" i="9"/>
  <c r="Y162" i="9" s="1"/>
  <c r="Y80" i="9"/>
  <c r="Y47" i="9"/>
  <c r="Y31" i="9"/>
  <c r="Y63" i="9" s="1"/>
  <c r="M74" i="9"/>
  <c r="M139" i="9"/>
  <c r="M156" i="9" s="1"/>
  <c r="M25" i="9"/>
  <c r="M57" i="9" s="1"/>
  <c r="M41" i="9"/>
  <c r="M141" i="9"/>
  <c r="M158" i="9" s="1"/>
  <c r="M76" i="9"/>
  <c r="M27" i="9"/>
  <c r="M59" i="9" s="1"/>
  <c r="M43" i="9"/>
  <c r="M143" i="9"/>
  <c r="M160" i="9" s="1"/>
  <c r="M78" i="9"/>
  <c r="M29" i="9"/>
  <c r="M61" i="9" s="1"/>
  <c r="M45" i="9"/>
  <c r="M145" i="9"/>
  <c r="M162" i="9" s="1"/>
  <c r="M80" i="9"/>
  <c r="M31" i="9"/>
  <c r="M63" i="9" s="1"/>
  <c r="M47" i="9"/>
  <c r="K121" i="9"/>
  <c r="L97" i="9"/>
  <c r="L129" i="9" s="1"/>
  <c r="L113" i="9"/>
  <c r="L95" i="9"/>
  <c r="L127" i="9" s="1"/>
  <c r="L111" i="9"/>
  <c r="L109" i="9"/>
  <c r="L93" i="9"/>
  <c r="L125" i="9" s="1"/>
  <c r="L107" i="9"/>
  <c r="L91" i="9"/>
  <c r="L123" i="9" s="1"/>
  <c r="L155" i="9"/>
  <c r="X56" i="9"/>
  <c r="X89" i="9"/>
  <c r="X105" i="9"/>
  <c r="X92" i="9"/>
  <c r="X124" i="9" s="1"/>
  <c r="X108" i="9"/>
  <c r="T168" i="9"/>
  <c r="T121" i="9"/>
  <c r="L112" i="9"/>
  <c r="L96" i="9"/>
  <c r="L128" i="9" s="1"/>
  <c r="L94" i="9"/>
  <c r="L126" i="9" s="1"/>
  <c r="L110" i="9"/>
  <c r="L92" i="9"/>
  <c r="L124" i="9" s="1"/>
  <c r="L108" i="9"/>
  <c r="L90" i="9"/>
  <c r="L122" i="9" s="1"/>
  <c r="L106" i="9"/>
  <c r="X96" i="9"/>
  <c r="X128" i="9" s="1"/>
  <c r="X112" i="9"/>
  <c r="X94" i="9"/>
  <c r="X126" i="9" s="1"/>
  <c r="X110" i="9"/>
  <c r="X91" i="9"/>
  <c r="X123" i="9" s="1"/>
  <c r="X107" i="9"/>
  <c r="X90" i="9"/>
  <c r="X122" i="9" s="1"/>
  <c r="X106" i="9"/>
  <c r="Y140" i="9"/>
  <c r="Y157" i="9" s="1"/>
  <c r="Y75" i="9"/>
  <c r="Y26" i="9"/>
  <c r="Y58" i="9" s="1"/>
  <c r="Y42" i="9"/>
  <c r="Y144" i="9"/>
  <c r="Y161" i="9" s="1"/>
  <c r="Y79" i="9"/>
  <c r="Y30" i="9"/>
  <c r="Y62" i="9" s="1"/>
  <c r="Y46" i="9"/>
  <c r="M73" i="9"/>
  <c r="M138" i="9"/>
  <c r="M24" i="9"/>
  <c r="M40" i="9"/>
  <c r="M17" i="9"/>
  <c r="M140" i="9"/>
  <c r="M157" i="9" s="1"/>
  <c r="M75" i="9"/>
  <c r="M26" i="9"/>
  <c r="M58" i="9" s="1"/>
  <c r="M42" i="9"/>
  <c r="M142" i="9"/>
  <c r="M159" i="9" s="1"/>
  <c r="M77" i="9"/>
  <c r="M28" i="9"/>
  <c r="M60" i="9" s="1"/>
  <c r="M44" i="9"/>
  <c r="M144" i="9"/>
  <c r="M161" i="9" s="1"/>
  <c r="M79" i="9"/>
  <c r="M30" i="9"/>
  <c r="M62" i="9" s="1"/>
  <c r="M46" i="9"/>
  <c r="M146" i="9"/>
  <c r="M81" i="9"/>
  <c r="M48" i="9"/>
  <c r="M32" i="9"/>
  <c r="M64" i="9" s="1"/>
  <c r="W121" i="9"/>
  <c r="V168" i="9"/>
  <c r="V121" i="9"/>
  <c r="K168" i="9"/>
  <c r="L56" i="9"/>
  <c r="L105" i="9"/>
  <c r="L89" i="9"/>
  <c r="X97" i="9"/>
  <c r="X129" i="9" s="1"/>
  <c r="X113" i="9"/>
  <c r="X95" i="9"/>
  <c r="X127" i="9" s="1"/>
  <c r="X111" i="9"/>
  <c r="X93" i="9"/>
  <c r="X125" i="9" s="1"/>
  <c r="X109" i="9"/>
  <c r="X155" i="9"/>
  <c r="H266" i="19"/>
  <c r="K50" i="13"/>
  <c r="K51" i="13" s="1"/>
  <c r="K52" i="13" s="1"/>
  <c r="L1" i="9"/>
  <c r="M1" i="9" s="1"/>
  <c r="K39" i="13"/>
  <c r="K70" i="13"/>
  <c r="K72" i="13" s="1"/>
  <c r="H11" i="8"/>
  <c r="G9" i="11" s="1"/>
  <c r="J30" i="8"/>
  <c r="H28" i="11"/>
  <c r="H29" i="15" s="1"/>
  <c r="J29" i="8"/>
  <c r="H27" i="11"/>
  <c r="H28" i="15" s="1"/>
  <c r="J31" i="8"/>
  <c r="H29" i="11"/>
  <c r="H30" i="15" s="1"/>
  <c r="L40" i="13"/>
  <c r="D5" i="15"/>
  <c r="E345" i="19"/>
  <c r="E6" i="11"/>
  <c r="E7" i="11" s="1"/>
  <c r="E8" i="15"/>
  <c r="G349" i="19" s="1"/>
  <c r="C6" i="11"/>
  <c r="C7" i="11" s="1"/>
  <c r="D6" i="11"/>
  <c r="D7" i="11" s="1"/>
  <c r="H265" i="19"/>
  <c r="I275" i="19"/>
  <c r="G355" i="19"/>
  <c r="G273" i="19"/>
  <c r="I10" i="8"/>
  <c r="AG10" i="8"/>
  <c r="U10" i="8"/>
  <c r="M14" i="11"/>
  <c r="M15" i="15" s="1"/>
  <c r="M16" i="11"/>
  <c r="M17" i="15" s="1"/>
  <c r="X11" i="11"/>
  <c r="AI12" i="11"/>
  <c r="AI13" i="15" s="1"/>
  <c r="M13" i="11"/>
  <c r="M14" i="15" s="1"/>
  <c r="M15" i="11"/>
  <c r="M16" i="15" s="1"/>
  <c r="I17" i="13"/>
  <c r="I19" i="13" s="1"/>
  <c r="G353" i="19"/>
  <c r="I20" i="11"/>
  <c r="I21" i="15" s="1"/>
  <c r="K26" i="8"/>
  <c r="J24" i="11" s="1"/>
  <c r="J25" i="15" s="1"/>
  <c r="G354" i="19"/>
  <c r="G272" i="19"/>
  <c r="H271" i="19"/>
  <c r="I17" i="11"/>
  <c r="I18" i="15" s="1"/>
  <c r="I19" i="11"/>
  <c r="I20" i="15" s="1"/>
  <c r="I21" i="11"/>
  <c r="I22" i="15" s="1"/>
  <c r="J25" i="8"/>
  <c r="I23" i="11" s="1"/>
  <c r="I24" i="15" s="1"/>
  <c r="J27" i="8"/>
  <c r="I25" i="11" s="1"/>
  <c r="I26" i="15" s="1"/>
  <c r="I18" i="11"/>
  <c r="I19" i="15" s="1"/>
  <c r="J24" i="8"/>
  <c r="I22" i="11" s="1"/>
  <c r="I23" i="15" s="1"/>
  <c r="K28" i="8"/>
  <c r="J26" i="11" s="1"/>
  <c r="J27" i="15" s="1"/>
  <c r="F355" i="19"/>
  <c r="F273" i="19"/>
  <c r="G270" i="19"/>
  <c r="F270" i="19"/>
  <c r="H15" i="13"/>
  <c r="H16" i="13"/>
  <c r="T27" i="41"/>
  <c r="L5" i="13"/>
  <c r="Y5" i="7"/>
  <c r="Y6" i="7"/>
  <c r="Y7" i="7"/>
  <c r="L57" i="7"/>
  <c r="N16" i="9" s="1"/>
  <c r="L56" i="7"/>
  <c r="N15" i="9" s="1"/>
  <c r="L55" i="7"/>
  <c r="N14" i="9" s="1"/>
  <c r="L54" i="7"/>
  <c r="N13" i="9" s="1"/>
  <c r="L53" i="7"/>
  <c r="N12" i="9" s="1"/>
  <c r="L52" i="7"/>
  <c r="N11" i="9" s="1"/>
  <c r="L51" i="7"/>
  <c r="N10" i="9" s="1"/>
  <c r="L50" i="7"/>
  <c r="N9" i="9" s="1"/>
  <c r="L49" i="7"/>
  <c r="N8" i="9" s="1"/>
  <c r="L48" i="7"/>
  <c r="N7" i="9" s="1"/>
  <c r="L47" i="7"/>
  <c r="N6" i="9" s="1"/>
  <c r="L46" i="7"/>
  <c r="N5" i="9" s="1"/>
  <c r="L45" i="7"/>
  <c r="N4" i="9" s="1"/>
  <c r="L44" i="7"/>
  <c r="N3" i="9" s="1"/>
  <c r="L43" i="7"/>
  <c r="N2" i="9" s="1"/>
  <c r="M40" i="7"/>
  <c r="AK7" i="7"/>
  <c r="X45" i="7"/>
  <c r="Y4" i="9" s="1"/>
  <c r="AK5" i="7"/>
  <c r="AK43" i="7" s="1"/>
  <c r="X43" i="7"/>
  <c r="Y2" i="9" s="1"/>
  <c r="H4" i="11"/>
  <c r="I22" i="7"/>
  <c r="K58" i="7"/>
  <c r="AK6" i="7"/>
  <c r="X44" i="7"/>
  <c r="Y3" i="9" s="1"/>
  <c r="F10" i="11"/>
  <c r="G11" i="15" s="1"/>
  <c r="G352" i="19"/>
  <c r="G16" i="13"/>
  <c r="G15" i="13"/>
  <c r="D6" i="8"/>
  <c r="E264" i="19"/>
  <c r="C113" i="19"/>
  <c r="E277" i="19"/>
  <c r="H6" i="8"/>
  <c r="F265" i="19"/>
  <c r="E6" i="8"/>
  <c r="D8" i="8"/>
  <c r="E269" i="19" s="1"/>
  <c r="F6" i="8"/>
  <c r="F8" i="8"/>
  <c r="G269" i="19" s="1"/>
  <c r="C117" i="19"/>
  <c r="I264" i="19"/>
  <c r="F264" i="19"/>
  <c r="C114" i="19"/>
  <c r="E8" i="8"/>
  <c r="F269" i="19" s="1"/>
  <c r="C115" i="19"/>
  <c r="G264" i="19"/>
  <c r="I357" i="19"/>
  <c r="J274" i="19"/>
  <c r="J356" i="19"/>
  <c r="H352" i="19"/>
  <c r="F32" i="8"/>
  <c r="O69" i="22"/>
  <c r="F9" i="11"/>
  <c r="H351" i="19"/>
  <c r="N103" i="22"/>
  <c r="H12" i="8" s="1"/>
  <c r="M6" i="13"/>
  <c r="I12" i="15" s="1"/>
  <c r="K42" i="7"/>
  <c r="K371" i="43" s="1"/>
  <c r="AC31" i="43" s="1"/>
  <c r="J4" i="7"/>
  <c r="AK8" i="7"/>
  <c r="AK10" i="7"/>
  <c r="AK12" i="7"/>
  <c r="AK14" i="7"/>
  <c r="AK16" i="7"/>
  <c r="AK18" i="7"/>
  <c r="Z2" i="7"/>
  <c r="Y19" i="7"/>
  <c r="Y57" i="7" s="1"/>
  <c r="Z16" i="9" s="1"/>
  <c r="Y18" i="7"/>
  <c r="Y56" i="7" s="1"/>
  <c r="Z15" i="9" s="1"/>
  <c r="Y17" i="7"/>
  <c r="Y55" i="7" s="1"/>
  <c r="Z14" i="9" s="1"/>
  <c r="Y16" i="7"/>
  <c r="Y54" i="7" s="1"/>
  <c r="Z13" i="9" s="1"/>
  <c r="Y15" i="7"/>
  <c r="Y53" i="7" s="1"/>
  <c r="Z12" i="9" s="1"/>
  <c r="Y14" i="7"/>
  <c r="Y52" i="7" s="1"/>
  <c r="Z11" i="9" s="1"/>
  <c r="Y13" i="7"/>
  <c r="Y51" i="7" s="1"/>
  <c r="Z10" i="9" s="1"/>
  <c r="Y11" i="7"/>
  <c r="Y49" i="7" s="1"/>
  <c r="Z8" i="9" s="1"/>
  <c r="Y9" i="7"/>
  <c r="Y47" i="7" s="1"/>
  <c r="Z6" i="9" s="1"/>
  <c r="Y12" i="7"/>
  <c r="Y50" i="7" s="1"/>
  <c r="Z9" i="9" s="1"/>
  <c r="Y10" i="7"/>
  <c r="Y48" i="7" s="1"/>
  <c r="Z7" i="9" s="1"/>
  <c r="Y8" i="7"/>
  <c r="Y46" i="7" s="1"/>
  <c r="Z5" i="9" s="1"/>
  <c r="AK9" i="7"/>
  <c r="AK11" i="7"/>
  <c r="AK13" i="7"/>
  <c r="AK15" i="7"/>
  <c r="AK17" i="7"/>
  <c r="AK19" i="7"/>
  <c r="K8" i="13"/>
  <c r="J2" i="11"/>
  <c r="E287" i="19"/>
  <c r="F7" i="15" l="1"/>
  <c r="H348" i="19" s="1"/>
  <c r="J71" i="13"/>
  <c r="H173" i="19"/>
  <c r="J18" i="32"/>
  <c r="G4" i="15"/>
  <c r="E7" i="15"/>
  <c r="G348" i="19" s="1"/>
  <c r="I44" i="51"/>
  <c r="I2" i="15"/>
  <c r="J343" i="19"/>
  <c r="V165" i="9"/>
  <c r="AI94" i="9"/>
  <c r="AI126" i="9" s="1"/>
  <c r="AI104" i="9"/>
  <c r="AI108" i="9"/>
  <c r="AI102" i="9"/>
  <c r="AI91" i="9"/>
  <c r="AI123" i="9" s="1"/>
  <c r="AI111" i="9"/>
  <c r="AI89" i="9"/>
  <c r="AI121" i="9" s="1"/>
  <c r="AH105" i="9"/>
  <c r="AI109" i="9"/>
  <c r="AI103" i="9"/>
  <c r="AI113" i="9"/>
  <c r="AI106" i="9"/>
  <c r="AI96" i="9"/>
  <c r="AI128" i="9" s="1"/>
  <c r="AI101" i="9"/>
  <c r="AJ141" i="9"/>
  <c r="AJ158" i="9" s="1"/>
  <c r="AJ76" i="9"/>
  <c r="AJ92" i="9" s="1"/>
  <c r="AJ124" i="9" s="1"/>
  <c r="AJ136" i="9"/>
  <c r="AJ153" i="9" s="1"/>
  <c r="AJ71" i="9"/>
  <c r="AJ87" i="9" s="1"/>
  <c r="AJ119" i="9" s="1"/>
  <c r="AJ142" i="9"/>
  <c r="AJ159" i="9" s="1"/>
  <c r="AJ77" i="9"/>
  <c r="AJ109" i="9" s="1"/>
  <c r="AJ28" i="9"/>
  <c r="AJ60" i="9" s="1"/>
  <c r="AJ133" i="9"/>
  <c r="AJ68" i="9"/>
  <c r="AJ137" i="9"/>
  <c r="AJ154" i="9" s="1"/>
  <c r="AJ39" i="9"/>
  <c r="AJ72" i="9"/>
  <c r="AJ88" i="9" s="1"/>
  <c r="AJ120" i="9" s="1"/>
  <c r="AJ140" i="9"/>
  <c r="AJ157" i="9" s="1"/>
  <c r="AJ42" i="9"/>
  <c r="AJ144" i="9"/>
  <c r="AJ161" i="9" s="1"/>
  <c r="AJ79" i="9"/>
  <c r="AJ95" i="9" s="1"/>
  <c r="AJ127" i="9" s="1"/>
  <c r="AJ30" i="9"/>
  <c r="AJ62" i="9" s="1"/>
  <c r="AJ145" i="9"/>
  <c r="AJ162" i="9" s="1"/>
  <c r="AJ31" i="9"/>
  <c r="AJ63" i="9" s="1"/>
  <c r="AJ135" i="9"/>
  <c r="AJ152" i="9" s="1"/>
  <c r="AJ37" i="9"/>
  <c r="AJ143" i="9"/>
  <c r="AJ160" i="9" s="1"/>
  <c r="AJ78" i="9"/>
  <c r="AJ94" i="9" s="1"/>
  <c r="AJ126" i="9" s="1"/>
  <c r="AJ45" i="9"/>
  <c r="AH104" i="9"/>
  <c r="AJ24" i="9"/>
  <c r="AJ56" i="9" s="1"/>
  <c r="AJ41" i="9"/>
  <c r="AJ32" i="9"/>
  <c r="AJ64" i="9" s="1"/>
  <c r="AJ38" i="9"/>
  <c r="AJ36" i="9"/>
  <c r="AJ43" i="9"/>
  <c r="AJ73" i="9"/>
  <c r="AJ105" i="9" s="1"/>
  <c r="AJ80" i="9"/>
  <c r="AJ112" i="9" s="1"/>
  <c r="AJ70" i="9"/>
  <c r="AJ102" i="9" s="1"/>
  <c r="AJ81" i="9"/>
  <c r="AJ97" i="9" s="1"/>
  <c r="AJ129" i="9" s="1"/>
  <c r="AJ75" i="9"/>
  <c r="AJ107" i="9" s="1"/>
  <c r="AJ69" i="9"/>
  <c r="AJ85" i="9" s="1"/>
  <c r="AJ117" i="9" s="1"/>
  <c r="AJ74" i="9"/>
  <c r="AJ106" i="9" s="1"/>
  <c r="AK57" i="7"/>
  <c r="AK16" i="9" s="1"/>
  <c r="AK53" i="7"/>
  <c r="AK12" i="9" s="1"/>
  <c r="AK49" i="7"/>
  <c r="AK8" i="9" s="1"/>
  <c r="AK54" i="7"/>
  <c r="AK13" i="9" s="1"/>
  <c r="AK50" i="7"/>
  <c r="AK9" i="9" s="1"/>
  <c r="AK46" i="7"/>
  <c r="AK5" i="9" s="1"/>
  <c r="AH96" i="9"/>
  <c r="AH128" i="9" s="1"/>
  <c r="AH112" i="9"/>
  <c r="AH90" i="9"/>
  <c r="AH122" i="9" s="1"/>
  <c r="AH106" i="9"/>
  <c r="AK55" i="7"/>
  <c r="AK14" i="9" s="1"/>
  <c r="AK51" i="7"/>
  <c r="AK10" i="9" s="1"/>
  <c r="AK47" i="7"/>
  <c r="AK6" i="9" s="1"/>
  <c r="AK56" i="7"/>
  <c r="AK15" i="9" s="1"/>
  <c r="AK52" i="7"/>
  <c r="AK11" i="9" s="1"/>
  <c r="AK48" i="7"/>
  <c r="AK7" i="9" s="1"/>
  <c r="AK44" i="7"/>
  <c r="AK3" i="9" s="1"/>
  <c r="AK45" i="7"/>
  <c r="AK4" i="9" s="1"/>
  <c r="AJ40" i="9"/>
  <c r="AJ47" i="9"/>
  <c r="AJ21" i="9"/>
  <c r="AJ53" i="9" s="1"/>
  <c r="AJ25" i="9"/>
  <c r="AJ57" i="9" s="1"/>
  <c r="AJ44" i="9"/>
  <c r="AJ48" i="9"/>
  <c r="AJ23" i="9"/>
  <c r="AJ55" i="9" s="1"/>
  <c r="AJ22" i="9"/>
  <c r="AJ54" i="9" s="1"/>
  <c r="AJ29" i="9"/>
  <c r="AJ61" i="9" s="1"/>
  <c r="AJ20" i="9"/>
  <c r="AJ52" i="9" s="1"/>
  <c r="AJ46" i="9"/>
  <c r="AJ27" i="9"/>
  <c r="AJ59" i="9" s="1"/>
  <c r="AJ26" i="9"/>
  <c r="AJ58" i="9" s="1"/>
  <c r="AH111" i="9"/>
  <c r="AH95" i="9"/>
  <c r="AH127" i="9" s="1"/>
  <c r="G8" i="15"/>
  <c r="I349" i="19" s="1"/>
  <c r="L149" i="9"/>
  <c r="L163" i="9" s="1"/>
  <c r="I370" i="43"/>
  <c r="G6" i="11"/>
  <c r="G7" i="11" s="1"/>
  <c r="L33" i="9"/>
  <c r="H8" i="8"/>
  <c r="I166" i="9"/>
  <c r="A47" i="43"/>
  <c r="B47" i="43" s="1"/>
  <c r="C46" i="43"/>
  <c r="D46" i="43" s="1"/>
  <c r="J166" i="9"/>
  <c r="G37" i="15"/>
  <c r="I363" i="19" s="1"/>
  <c r="H10" i="15"/>
  <c r="K165" i="9"/>
  <c r="G5" i="15"/>
  <c r="I346" i="19" s="1"/>
  <c r="H345" i="19"/>
  <c r="K130" i="9"/>
  <c r="K98" i="9"/>
  <c r="L2" i="13"/>
  <c r="L3" i="13" s="1"/>
  <c r="L7" i="13" s="1"/>
  <c r="H36" i="15" s="1"/>
  <c r="L65" i="9"/>
  <c r="L147" i="9"/>
  <c r="K15" i="13"/>
  <c r="N133" i="9"/>
  <c r="N150" i="9" s="1"/>
  <c r="N68" i="9"/>
  <c r="N19" i="9"/>
  <c r="N51" i="9" s="1"/>
  <c r="N35" i="9"/>
  <c r="N135" i="9"/>
  <c r="N152" i="9" s="1"/>
  <c r="N70" i="9"/>
  <c r="N21" i="9"/>
  <c r="N53" i="9" s="1"/>
  <c r="N37" i="9"/>
  <c r="Z136" i="9"/>
  <c r="Z153" i="9" s="1"/>
  <c r="Z71" i="9"/>
  <c r="Z22" i="9"/>
  <c r="Z54" i="9" s="1"/>
  <c r="Z38" i="9"/>
  <c r="M132" i="9"/>
  <c r="M149" i="9" s="1"/>
  <c r="M67" i="9"/>
  <c r="M82" i="9" s="1"/>
  <c r="M18" i="9"/>
  <c r="M50" i="9" s="1"/>
  <c r="M34" i="9"/>
  <c r="M49" i="9" s="1"/>
  <c r="Y134" i="9"/>
  <c r="Y151" i="9" s="1"/>
  <c r="Y69" i="9"/>
  <c r="Y20" i="9"/>
  <c r="Y52" i="9" s="1"/>
  <c r="Y36" i="9"/>
  <c r="Y133" i="9"/>
  <c r="Y150" i="9" s="1"/>
  <c r="Y68" i="9"/>
  <c r="Y19" i="9"/>
  <c r="Y51" i="9" s="1"/>
  <c r="Y35" i="9"/>
  <c r="Y135" i="9"/>
  <c r="Y152" i="9" s="1"/>
  <c r="Y70" i="9"/>
  <c r="Y21" i="9"/>
  <c r="Y53" i="9" s="1"/>
  <c r="Y37" i="9"/>
  <c r="N134" i="9"/>
  <c r="N151" i="9" s="1"/>
  <c r="N69" i="9"/>
  <c r="N20" i="9"/>
  <c r="N52" i="9" s="1"/>
  <c r="N36" i="9"/>
  <c r="N136" i="9"/>
  <c r="N153" i="9" s="1"/>
  <c r="N71" i="9"/>
  <c r="N22" i="9"/>
  <c r="N54" i="9" s="1"/>
  <c r="N38" i="9"/>
  <c r="X132" i="9"/>
  <c r="X67" i="9"/>
  <c r="X18" i="9"/>
  <c r="X34" i="9"/>
  <c r="X49" i="9" s="1"/>
  <c r="X17" i="9"/>
  <c r="M103" i="9"/>
  <c r="M87" i="9"/>
  <c r="M119" i="9" s="1"/>
  <c r="Y103" i="9"/>
  <c r="Y87" i="9"/>
  <c r="Y119" i="9" s="1"/>
  <c r="W50" i="9"/>
  <c r="W65" i="9" s="1"/>
  <c r="W33" i="9"/>
  <c r="W149" i="9"/>
  <c r="W163" i="9" s="1"/>
  <c r="W147" i="9"/>
  <c r="Z137" i="9"/>
  <c r="Z154" i="9" s="1"/>
  <c r="Z72" i="9"/>
  <c r="Z23" i="9"/>
  <c r="Z55" i="9" s="1"/>
  <c r="Z39" i="9"/>
  <c r="N137" i="9"/>
  <c r="N154" i="9" s="1"/>
  <c r="N72" i="9"/>
  <c r="N23" i="9"/>
  <c r="N55" i="9" s="1"/>
  <c r="N39" i="9"/>
  <c r="W99" i="9"/>
  <c r="W114" i="9" s="1"/>
  <c r="W83" i="9"/>
  <c r="W82" i="9"/>
  <c r="W168" i="9" s="1"/>
  <c r="X85" i="9"/>
  <c r="X117" i="9" s="1"/>
  <c r="X101" i="9"/>
  <c r="M104" i="9"/>
  <c r="M88" i="9"/>
  <c r="M120" i="9" s="1"/>
  <c r="M86" i="9"/>
  <c r="M118" i="9" s="1"/>
  <c r="M102" i="9"/>
  <c r="M100" i="9"/>
  <c r="M84" i="9"/>
  <c r="M116" i="9" s="1"/>
  <c r="X84" i="9"/>
  <c r="X116" i="9" s="1"/>
  <c r="X100" i="9"/>
  <c r="L83" i="9"/>
  <c r="L115" i="9" s="1"/>
  <c r="L99" i="9"/>
  <c r="L114" i="9" s="1"/>
  <c r="Y104" i="9"/>
  <c r="Y88" i="9"/>
  <c r="Y120" i="9" s="1"/>
  <c r="M101" i="9"/>
  <c r="M85" i="9"/>
  <c r="M117" i="9" s="1"/>
  <c r="X86" i="9"/>
  <c r="X118" i="9" s="1"/>
  <c r="X102" i="9"/>
  <c r="Z138" i="9"/>
  <c r="Z73" i="9"/>
  <c r="Z24" i="9"/>
  <c r="Z40" i="9"/>
  <c r="Z143" i="9"/>
  <c r="Z160" i="9" s="1"/>
  <c r="Z78" i="9"/>
  <c r="Z29" i="9"/>
  <c r="Z61" i="9" s="1"/>
  <c r="Z45" i="9"/>
  <c r="Z145" i="9"/>
  <c r="Z162" i="9" s="1"/>
  <c r="Z80" i="9"/>
  <c r="Z31" i="9"/>
  <c r="Z63" i="9" s="1"/>
  <c r="Z47" i="9"/>
  <c r="Z140" i="9"/>
  <c r="Z157" i="9" s="1"/>
  <c r="Z75" i="9"/>
  <c r="Z26" i="9"/>
  <c r="Z58" i="9" s="1"/>
  <c r="Z42" i="9"/>
  <c r="Z139" i="9"/>
  <c r="Z156" i="9" s="1"/>
  <c r="Z74" i="9"/>
  <c r="Z25" i="9"/>
  <c r="Z57" i="9" s="1"/>
  <c r="Z41" i="9"/>
  <c r="Z142" i="9"/>
  <c r="Z159" i="9" s="1"/>
  <c r="Z77" i="9"/>
  <c r="Z44" i="9"/>
  <c r="Z28" i="9"/>
  <c r="Z60" i="9" s="1"/>
  <c r="Z144" i="9"/>
  <c r="Z161" i="9" s="1"/>
  <c r="Z79" i="9"/>
  <c r="Z46" i="9"/>
  <c r="Z30" i="9"/>
  <c r="Z62" i="9" s="1"/>
  <c r="Z146" i="9"/>
  <c r="Z81" i="9"/>
  <c r="Z32" i="9"/>
  <c r="Z64" i="9" s="1"/>
  <c r="Z48" i="9"/>
  <c r="N138" i="9"/>
  <c r="N73" i="9"/>
  <c r="N24" i="9"/>
  <c r="N40" i="9"/>
  <c r="N75" i="9"/>
  <c r="N140" i="9"/>
  <c r="N157" i="9" s="1"/>
  <c r="N26" i="9"/>
  <c r="N58" i="9" s="1"/>
  <c r="N42" i="9"/>
  <c r="N142" i="9"/>
  <c r="N159" i="9" s="1"/>
  <c r="N77" i="9"/>
  <c r="N44" i="9"/>
  <c r="N28" i="9"/>
  <c r="N60" i="9" s="1"/>
  <c r="N144" i="9"/>
  <c r="N161" i="9" s="1"/>
  <c r="N79" i="9"/>
  <c r="N46" i="9"/>
  <c r="N30" i="9"/>
  <c r="N62" i="9" s="1"/>
  <c r="N146" i="9"/>
  <c r="N81" i="9"/>
  <c r="N32" i="9"/>
  <c r="N64" i="9" s="1"/>
  <c r="N48" i="9"/>
  <c r="L168" i="9"/>
  <c r="M155" i="9"/>
  <c r="Y111" i="9"/>
  <c r="Y95" i="9"/>
  <c r="Y127" i="9" s="1"/>
  <c r="Y107" i="9"/>
  <c r="Y91" i="9"/>
  <c r="Y123" i="9" s="1"/>
  <c r="M96" i="9"/>
  <c r="M128" i="9" s="1"/>
  <c r="M112" i="9"/>
  <c r="M110" i="9"/>
  <c r="M94" i="9"/>
  <c r="M126" i="9" s="1"/>
  <c r="M92" i="9"/>
  <c r="M124" i="9" s="1"/>
  <c r="M108" i="9"/>
  <c r="Y112" i="9"/>
  <c r="Y96" i="9"/>
  <c r="Y128" i="9" s="1"/>
  <c r="Y110" i="9"/>
  <c r="Y94" i="9"/>
  <c r="Y126" i="9" s="1"/>
  <c r="Y92" i="9"/>
  <c r="Y124" i="9" s="1"/>
  <c r="Y108" i="9"/>
  <c r="Y113" i="9"/>
  <c r="Y97" i="9"/>
  <c r="Y129" i="9" s="1"/>
  <c r="Y109" i="9"/>
  <c r="Y93" i="9"/>
  <c r="Y125" i="9" s="1"/>
  <c r="Y105" i="9"/>
  <c r="Y89" i="9"/>
  <c r="Z141" i="9"/>
  <c r="Z158" i="9" s="1"/>
  <c r="Z76" i="9"/>
  <c r="Z27" i="9"/>
  <c r="Z59" i="9" s="1"/>
  <c r="Z43" i="9"/>
  <c r="N139" i="9"/>
  <c r="N156" i="9" s="1"/>
  <c r="N74" i="9"/>
  <c r="N25" i="9"/>
  <c r="N57" i="9" s="1"/>
  <c r="N41" i="9"/>
  <c r="N76" i="9"/>
  <c r="N141" i="9"/>
  <c r="N158" i="9" s="1"/>
  <c r="N43" i="9"/>
  <c r="N27" i="9"/>
  <c r="N59" i="9" s="1"/>
  <c r="N143" i="9"/>
  <c r="N160" i="9" s="1"/>
  <c r="N78" i="9"/>
  <c r="N45" i="9"/>
  <c r="N29" i="9"/>
  <c r="N61" i="9" s="1"/>
  <c r="N145" i="9"/>
  <c r="N162" i="9" s="1"/>
  <c r="N80" i="9"/>
  <c r="N47" i="9"/>
  <c r="N31" i="9"/>
  <c r="N63" i="9" s="1"/>
  <c r="L121" i="9"/>
  <c r="M113" i="9"/>
  <c r="M97" i="9"/>
  <c r="M129" i="9" s="1"/>
  <c r="M111" i="9"/>
  <c r="M95" i="9"/>
  <c r="M127" i="9" s="1"/>
  <c r="M109" i="9"/>
  <c r="M93" i="9"/>
  <c r="M125" i="9" s="1"/>
  <c r="M91" i="9"/>
  <c r="M123" i="9" s="1"/>
  <c r="M107" i="9"/>
  <c r="M56" i="9"/>
  <c r="M105" i="9"/>
  <c r="M89" i="9"/>
  <c r="X121" i="9"/>
  <c r="M106" i="9"/>
  <c r="M90" i="9"/>
  <c r="M122" i="9" s="1"/>
  <c r="Y106" i="9"/>
  <c r="Y90" i="9"/>
  <c r="Y122" i="9" s="1"/>
  <c r="Y56" i="9"/>
  <c r="Y155" i="9"/>
  <c r="I269" i="19"/>
  <c r="F266" i="19"/>
  <c r="G266" i="19"/>
  <c r="L64" i="13"/>
  <c r="F348" i="19"/>
  <c r="E348" i="19"/>
  <c r="I11" i="8"/>
  <c r="K31" i="8"/>
  <c r="I29" i="11"/>
  <c r="I30" i="15" s="1"/>
  <c r="K29" i="8"/>
  <c r="I27" i="11"/>
  <c r="I28" i="15" s="1"/>
  <c r="K30" i="8"/>
  <c r="I28" i="11"/>
  <c r="I29" i="15" s="1"/>
  <c r="M40" i="13"/>
  <c r="D8" i="15"/>
  <c r="F349" i="19" s="1"/>
  <c r="C8" i="15"/>
  <c r="I42" i="8"/>
  <c r="H31" i="11" s="1"/>
  <c r="J357" i="19"/>
  <c r="J275" i="19"/>
  <c r="I354" i="19"/>
  <c r="I272" i="19"/>
  <c r="L26" i="8"/>
  <c r="K24" i="11" s="1"/>
  <c r="K25" i="15" s="1"/>
  <c r="J20" i="11"/>
  <c r="J21" i="15" s="1"/>
  <c r="I271" i="19"/>
  <c r="H354" i="19"/>
  <c r="H272" i="19"/>
  <c r="H355" i="19"/>
  <c r="H273" i="19"/>
  <c r="L28" i="8"/>
  <c r="K26" i="11" s="1"/>
  <c r="K27" i="15" s="1"/>
  <c r="K24" i="8"/>
  <c r="J22" i="11" s="1"/>
  <c r="J23" i="15" s="1"/>
  <c r="J18" i="11"/>
  <c r="J19" i="15" s="1"/>
  <c r="K27" i="8"/>
  <c r="J25" i="11" s="1"/>
  <c r="J26" i="15" s="1"/>
  <c r="K25" i="8"/>
  <c r="J23" i="11" s="1"/>
  <c r="J24" i="15" s="1"/>
  <c r="J21" i="11"/>
  <c r="J22" i="15" s="1"/>
  <c r="J19" i="11"/>
  <c r="J20" i="15" s="1"/>
  <c r="J17" i="11"/>
  <c r="J18" i="15" s="1"/>
  <c r="H353" i="19"/>
  <c r="J17" i="13"/>
  <c r="J19" i="13" s="1"/>
  <c r="N15" i="11"/>
  <c r="N16" i="15" s="1"/>
  <c r="AJ12" i="11"/>
  <c r="AJ13" i="15" s="1"/>
  <c r="Y11" i="11"/>
  <c r="N16" i="11"/>
  <c r="N17" i="15" s="1"/>
  <c r="N14" i="11"/>
  <c r="N15" i="15" s="1"/>
  <c r="V10" i="8"/>
  <c r="AH10" i="8"/>
  <c r="J10" i="8"/>
  <c r="I352" i="19"/>
  <c r="H270" i="19"/>
  <c r="H267" i="19"/>
  <c r="F71" i="41"/>
  <c r="F72" i="41" s="1"/>
  <c r="H19" i="13"/>
  <c r="U27" i="41"/>
  <c r="I4" i="11"/>
  <c r="I4" i="8"/>
  <c r="M51" i="7"/>
  <c r="O10" i="9" s="1"/>
  <c r="M50" i="7"/>
  <c r="O9" i="9" s="1"/>
  <c r="M49" i="7"/>
  <c r="O8" i="9" s="1"/>
  <c r="M48" i="7"/>
  <c r="O7" i="9" s="1"/>
  <c r="M47" i="7"/>
  <c r="O6" i="9" s="1"/>
  <c r="M46" i="7"/>
  <c r="O5" i="9" s="1"/>
  <c r="M45" i="7"/>
  <c r="O4" i="9" s="1"/>
  <c r="M44" i="7"/>
  <c r="O3" i="9" s="1"/>
  <c r="M43" i="7"/>
  <c r="O2" i="9" s="1"/>
  <c r="M57" i="7"/>
  <c r="O16" i="9" s="1"/>
  <c r="M56" i="7"/>
  <c r="O15" i="9" s="1"/>
  <c r="M55" i="7"/>
  <c r="O14" i="9" s="1"/>
  <c r="M54" i="7"/>
  <c r="O13" i="9" s="1"/>
  <c r="M53" i="7"/>
  <c r="O12" i="9" s="1"/>
  <c r="M52" i="7"/>
  <c r="O11" i="9" s="1"/>
  <c r="N40" i="7"/>
  <c r="AL7" i="7"/>
  <c r="Y45" i="7"/>
  <c r="Z4" i="9" s="1"/>
  <c r="Y43" i="7"/>
  <c r="Z2" i="9" s="1"/>
  <c r="AL5" i="7"/>
  <c r="AL43" i="7" s="1"/>
  <c r="Z5" i="7"/>
  <c r="Z6" i="7"/>
  <c r="Z7" i="7"/>
  <c r="J22" i="7"/>
  <c r="H5" i="11"/>
  <c r="L58" i="7"/>
  <c r="AL6" i="7"/>
  <c r="Y44" i="7"/>
  <c r="Z3" i="9" s="1"/>
  <c r="I351" i="19"/>
  <c r="R58" i="7"/>
  <c r="G345" i="19"/>
  <c r="G346" i="19"/>
  <c r="G265" i="19"/>
  <c r="I265" i="19"/>
  <c r="F345" i="19"/>
  <c r="E266" i="19"/>
  <c r="C71" i="41"/>
  <c r="C72" i="41" s="1"/>
  <c r="E265" i="19"/>
  <c r="G10" i="11"/>
  <c r="H11" i="15" s="1"/>
  <c r="E299" i="19"/>
  <c r="E387" i="19"/>
  <c r="G32" i="8"/>
  <c r="H269" i="19"/>
  <c r="O103" i="22"/>
  <c r="I12" i="8" s="1"/>
  <c r="H10" i="11" s="1"/>
  <c r="I11" i="15" s="1"/>
  <c r="P69" i="22"/>
  <c r="M5" i="13"/>
  <c r="N6" i="13"/>
  <c r="J12" i="15" s="1"/>
  <c r="L42" i="7"/>
  <c r="L371" i="43" s="1"/>
  <c r="AD31" i="43" s="1"/>
  <c r="K4" i="7"/>
  <c r="AL8" i="7"/>
  <c r="AL12" i="7"/>
  <c r="AL9" i="7"/>
  <c r="AL13" i="7"/>
  <c r="AL15" i="7"/>
  <c r="AL17" i="7"/>
  <c r="AL19" i="7"/>
  <c r="AL10" i="7"/>
  <c r="AL11" i="7"/>
  <c r="AL14" i="7"/>
  <c r="AL16" i="7"/>
  <c r="AL18" i="7"/>
  <c r="AA2" i="7"/>
  <c r="Z19" i="7"/>
  <c r="Z57" i="7" s="1"/>
  <c r="AA16" i="9" s="1"/>
  <c r="Z18" i="7"/>
  <c r="Z56" i="7" s="1"/>
  <c r="AA15" i="9" s="1"/>
  <c r="Z17" i="7"/>
  <c r="Z55" i="7" s="1"/>
  <c r="AA14" i="9" s="1"/>
  <c r="Z16" i="7"/>
  <c r="Z54" i="7" s="1"/>
  <c r="AA13" i="9" s="1"/>
  <c r="Z15" i="7"/>
  <c r="Z53" i="7" s="1"/>
  <c r="AA12" i="9" s="1"/>
  <c r="Z14" i="7"/>
  <c r="Z52" i="7" s="1"/>
  <c r="AA11" i="9" s="1"/>
  <c r="Z13" i="7"/>
  <c r="Z51" i="7" s="1"/>
  <c r="AA10" i="9" s="1"/>
  <c r="Z12" i="7"/>
  <c r="Z50" i="7" s="1"/>
  <c r="AA9" i="9" s="1"/>
  <c r="Z11" i="7"/>
  <c r="Z49" i="7" s="1"/>
  <c r="AA8" i="9" s="1"/>
  <c r="Z10" i="7"/>
  <c r="Z48" i="7" s="1"/>
  <c r="AA7" i="9" s="1"/>
  <c r="Z9" i="7"/>
  <c r="Z47" i="7" s="1"/>
  <c r="AA6" i="9" s="1"/>
  <c r="Z8" i="7"/>
  <c r="Z46" i="7" s="1"/>
  <c r="AA5" i="9" s="1"/>
  <c r="M2" i="13"/>
  <c r="M3" i="13" s="1"/>
  <c r="N1" i="9"/>
  <c r="K2" i="11"/>
  <c r="F287" i="19"/>
  <c r="G7" i="15" l="1"/>
  <c r="I348" i="19" s="1"/>
  <c r="E349" i="19"/>
  <c r="H4" i="15"/>
  <c r="H5" i="15" s="1"/>
  <c r="J44" i="51"/>
  <c r="E374" i="19"/>
  <c r="J2" i="15"/>
  <c r="AJ113" i="9"/>
  <c r="AJ111" i="9"/>
  <c r="AJ101" i="9"/>
  <c r="AJ96" i="9"/>
  <c r="AJ128" i="9" s="1"/>
  <c r="AJ110" i="9"/>
  <c r="AJ104" i="9"/>
  <c r="AJ93" i="9"/>
  <c r="AJ125" i="9" s="1"/>
  <c r="N13" i="11"/>
  <c r="N14" i="15" s="1"/>
  <c r="O13" i="11"/>
  <c r="O14" i="15" s="1"/>
  <c r="AJ108" i="9"/>
  <c r="AJ103" i="9"/>
  <c r="AJ86" i="9"/>
  <c r="AJ118" i="9" s="1"/>
  <c r="AJ91" i="9"/>
  <c r="AJ123" i="9" s="1"/>
  <c r="AJ90" i="9"/>
  <c r="AJ122" i="9" s="1"/>
  <c r="AJ89" i="9"/>
  <c r="AJ121" i="9" s="1"/>
  <c r="AK68" i="9"/>
  <c r="AK133" i="9"/>
  <c r="AK76" i="9"/>
  <c r="AK92" i="9" s="1"/>
  <c r="AK124" i="9" s="1"/>
  <c r="AK141" i="9"/>
  <c r="AK158" i="9" s="1"/>
  <c r="AK43" i="9"/>
  <c r="AK71" i="9"/>
  <c r="AK103" i="9" s="1"/>
  <c r="AK136" i="9"/>
  <c r="AK153" i="9" s="1"/>
  <c r="AK38" i="9"/>
  <c r="AK79" i="9"/>
  <c r="AK95" i="9" s="1"/>
  <c r="AK127" i="9" s="1"/>
  <c r="AK144" i="9"/>
  <c r="AK161" i="9" s="1"/>
  <c r="AK30" i="9"/>
  <c r="AK62" i="9" s="1"/>
  <c r="AK74" i="9"/>
  <c r="AK90" i="9" s="1"/>
  <c r="AK122" i="9" s="1"/>
  <c r="AK139" i="9"/>
  <c r="AK156" i="9" s="1"/>
  <c r="AK25" i="9"/>
  <c r="AK57" i="9" s="1"/>
  <c r="AK73" i="9"/>
  <c r="AK105" i="9" s="1"/>
  <c r="AK138" i="9"/>
  <c r="AK155" i="9" s="1"/>
  <c r="AK40" i="9"/>
  <c r="AK81" i="9"/>
  <c r="AK97" i="9" s="1"/>
  <c r="AK129" i="9" s="1"/>
  <c r="AK146" i="9"/>
  <c r="AK32" i="9"/>
  <c r="AK64" i="9" s="1"/>
  <c r="AK69" i="9"/>
  <c r="AK101" i="9" s="1"/>
  <c r="AK36" i="9"/>
  <c r="AK134" i="9"/>
  <c r="AK151" i="9" s="1"/>
  <c r="AK72" i="9"/>
  <c r="AK88" i="9" s="1"/>
  <c r="AK120" i="9" s="1"/>
  <c r="AK137" i="9"/>
  <c r="AK154" i="9" s="1"/>
  <c r="AK23" i="9"/>
  <c r="AK55" i="9" s="1"/>
  <c r="AK80" i="9"/>
  <c r="AK112" i="9" s="1"/>
  <c r="AK31" i="9"/>
  <c r="AK63" i="9" s="1"/>
  <c r="AK145" i="9"/>
  <c r="AK162" i="9" s="1"/>
  <c r="AK75" i="9"/>
  <c r="AK91" i="9" s="1"/>
  <c r="AK123" i="9" s="1"/>
  <c r="AK140" i="9"/>
  <c r="AK157" i="9" s="1"/>
  <c r="AK26" i="9"/>
  <c r="AK58" i="9" s="1"/>
  <c r="AK70" i="9"/>
  <c r="AK86" i="9" s="1"/>
  <c r="AK118" i="9" s="1"/>
  <c r="AK135" i="9"/>
  <c r="AK152" i="9" s="1"/>
  <c r="AK37" i="9"/>
  <c r="AK78" i="9"/>
  <c r="AK94" i="9" s="1"/>
  <c r="AK126" i="9" s="1"/>
  <c r="AK143" i="9"/>
  <c r="AK160" i="9" s="1"/>
  <c r="AK29" i="9"/>
  <c r="AK61" i="9" s="1"/>
  <c r="AK77" i="9"/>
  <c r="AK109" i="9" s="1"/>
  <c r="AK142" i="9"/>
  <c r="AK159" i="9" s="1"/>
  <c r="AK28" i="9"/>
  <c r="AK60" i="9" s="1"/>
  <c r="AL56" i="7"/>
  <c r="AL15" i="9" s="1"/>
  <c r="AL52" i="7"/>
  <c r="AL11" i="9" s="1"/>
  <c r="AL48" i="7"/>
  <c r="AL7" i="9" s="1"/>
  <c r="AL55" i="7"/>
  <c r="AL14" i="9" s="1"/>
  <c r="AL51" i="7"/>
  <c r="AL10" i="9" s="1"/>
  <c r="AL50" i="7"/>
  <c r="AL9" i="9" s="1"/>
  <c r="AL44" i="7"/>
  <c r="AL3" i="9" s="1"/>
  <c r="AL54" i="7"/>
  <c r="AL13" i="9" s="1"/>
  <c r="AL49" i="7"/>
  <c r="AL8" i="9" s="1"/>
  <c r="AL57" i="7"/>
  <c r="AL16" i="9" s="1"/>
  <c r="AL53" i="7"/>
  <c r="AL12" i="9" s="1"/>
  <c r="AL47" i="7"/>
  <c r="AL6" i="9" s="1"/>
  <c r="AL46" i="7"/>
  <c r="AL5" i="9" s="1"/>
  <c r="AL45" i="7"/>
  <c r="AL4" i="9" s="1"/>
  <c r="AK21" i="9"/>
  <c r="AK53" i="9" s="1"/>
  <c r="AK20" i="9"/>
  <c r="AK52" i="9" s="1"/>
  <c r="AK24" i="9"/>
  <c r="AK56" i="9" s="1"/>
  <c r="AK27" i="9"/>
  <c r="AK59" i="9" s="1"/>
  <c r="AK22" i="9"/>
  <c r="AK54" i="9" s="1"/>
  <c r="AK42" i="9"/>
  <c r="AK46" i="9"/>
  <c r="AK41" i="9"/>
  <c r="AK45" i="9"/>
  <c r="AK44" i="9"/>
  <c r="AK48" i="9"/>
  <c r="AK39" i="9"/>
  <c r="AK47" i="9"/>
  <c r="I266" i="19"/>
  <c r="J370" i="43"/>
  <c r="L165" i="9"/>
  <c r="L8" i="13"/>
  <c r="H37" i="15" s="1"/>
  <c r="J363" i="19" s="1"/>
  <c r="L70" i="13"/>
  <c r="L72" i="13" s="1"/>
  <c r="K71" i="13" s="1"/>
  <c r="M33" i="9"/>
  <c r="A48" i="43"/>
  <c r="B48" i="43" s="1"/>
  <c r="C47" i="43"/>
  <c r="D47" i="43" s="1"/>
  <c r="L39" i="13"/>
  <c r="L50" i="13"/>
  <c r="L51" i="13" s="1"/>
  <c r="L52" i="13" s="1"/>
  <c r="I10" i="15"/>
  <c r="I345" i="19"/>
  <c r="L130" i="9"/>
  <c r="K166" i="9"/>
  <c r="M65" i="9"/>
  <c r="L98" i="9"/>
  <c r="M147" i="9"/>
  <c r="W165" i="9"/>
  <c r="AA136" i="9"/>
  <c r="AA153" i="9" s="1"/>
  <c r="AA71" i="9"/>
  <c r="AE87" i="9" s="1"/>
  <c r="AE119" i="9" s="1"/>
  <c r="AA22" i="9"/>
  <c r="AA54" i="9" s="1"/>
  <c r="AA38" i="9"/>
  <c r="N132" i="9"/>
  <c r="N149" i="9" s="1"/>
  <c r="N67" i="9"/>
  <c r="N18" i="9"/>
  <c r="N50" i="9" s="1"/>
  <c r="N34" i="9"/>
  <c r="N49" i="9" s="1"/>
  <c r="Z134" i="9"/>
  <c r="Z151" i="9" s="1"/>
  <c r="Z69" i="9"/>
  <c r="Z20" i="9"/>
  <c r="Z52" i="9" s="1"/>
  <c r="Z36" i="9"/>
  <c r="O133" i="9"/>
  <c r="O150" i="9" s="1"/>
  <c r="O68" i="9"/>
  <c r="S84" i="9" s="1"/>
  <c r="S116" i="9" s="1"/>
  <c r="O19" i="9"/>
  <c r="O51" i="9" s="1"/>
  <c r="O35" i="9"/>
  <c r="O137" i="9"/>
  <c r="O154" i="9" s="1"/>
  <c r="O72" i="9"/>
  <c r="O23" i="9"/>
  <c r="O55" i="9" s="1"/>
  <c r="O39" i="9"/>
  <c r="AA137" i="9"/>
  <c r="AA154" i="9" s="1"/>
  <c r="AA72" i="9"/>
  <c r="AA23" i="9"/>
  <c r="AA55" i="9" s="1"/>
  <c r="AA39" i="9"/>
  <c r="Z135" i="9"/>
  <c r="Z152" i="9" s="1"/>
  <c r="Z70" i="9"/>
  <c r="Z21" i="9"/>
  <c r="Z53" i="9" s="1"/>
  <c r="Z37" i="9"/>
  <c r="O134" i="9"/>
  <c r="O151" i="9" s="1"/>
  <c r="O69" i="9"/>
  <c r="S85" i="9" s="1"/>
  <c r="S117" i="9" s="1"/>
  <c r="O20" i="9"/>
  <c r="O52" i="9" s="1"/>
  <c r="O36" i="9"/>
  <c r="O136" i="9"/>
  <c r="O153" i="9" s="1"/>
  <c r="O71" i="9"/>
  <c r="S87" i="9" s="1"/>
  <c r="S119" i="9" s="1"/>
  <c r="O22" i="9"/>
  <c r="O54" i="9" s="1"/>
  <c r="O38" i="9"/>
  <c r="M163" i="9"/>
  <c r="Y132" i="9"/>
  <c r="Y67" i="9"/>
  <c r="Y18" i="9"/>
  <c r="Y34" i="9"/>
  <c r="Y49" i="9" s="1"/>
  <c r="Y17" i="9"/>
  <c r="X99" i="9"/>
  <c r="X114" i="9" s="1"/>
  <c r="X83" i="9"/>
  <c r="X82" i="9"/>
  <c r="X168" i="9" s="1"/>
  <c r="N87" i="9"/>
  <c r="N119" i="9" s="1"/>
  <c r="N103" i="9"/>
  <c r="N85" i="9"/>
  <c r="N117" i="9" s="1"/>
  <c r="N101" i="9"/>
  <c r="Y86" i="9"/>
  <c r="Y118" i="9" s="1"/>
  <c r="Y102" i="9"/>
  <c r="Y100" i="9"/>
  <c r="Y84" i="9"/>
  <c r="Y116" i="9" s="1"/>
  <c r="Y101" i="9"/>
  <c r="Y85" i="9"/>
  <c r="Y117" i="9" s="1"/>
  <c r="M99" i="9"/>
  <c r="M114" i="9" s="1"/>
  <c r="M83" i="9"/>
  <c r="M115" i="9" s="1"/>
  <c r="Z87" i="9"/>
  <c r="Z119" i="9" s="1"/>
  <c r="Z103" i="9"/>
  <c r="N86" i="9"/>
  <c r="N118" i="9" s="1"/>
  <c r="N102" i="9"/>
  <c r="N100" i="9"/>
  <c r="N84" i="9"/>
  <c r="N116" i="9" s="1"/>
  <c r="Z133" i="9"/>
  <c r="Z150" i="9" s="1"/>
  <c r="Z68" i="9"/>
  <c r="Z19" i="9"/>
  <c r="Z51" i="9" s="1"/>
  <c r="Z35" i="9"/>
  <c r="O135" i="9"/>
  <c r="O152" i="9" s="1"/>
  <c r="O70" i="9"/>
  <c r="S86" i="9" s="1"/>
  <c r="S118" i="9" s="1"/>
  <c r="O21" i="9"/>
  <c r="O53" i="9" s="1"/>
  <c r="O37" i="9"/>
  <c r="N17" i="9"/>
  <c r="J4" i="11" s="1"/>
  <c r="W115" i="9"/>
  <c r="W130" i="9" s="1"/>
  <c r="W98" i="9"/>
  <c r="N88" i="9"/>
  <c r="N120" i="9" s="1"/>
  <c r="N104" i="9"/>
  <c r="Z88" i="9"/>
  <c r="Z120" i="9" s="1"/>
  <c r="Z104" i="9"/>
  <c r="X50" i="9"/>
  <c r="X65" i="9" s="1"/>
  <c r="X33" i="9"/>
  <c r="X149" i="9"/>
  <c r="X163" i="9" s="1"/>
  <c r="X147" i="9"/>
  <c r="AA74" i="9"/>
  <c r="AA139" i="9"/>
  <c r="AA156" i="9" s="1"/>
  <c r="AA25" i="9"/>
  <c r="AA57" i="9" s="1"/>
  <c r="AA41" i="9"/>
  <c r="AA141" i="9"/>
  <c r="AA158" i="9" s="1"/>
  <c r="AA76" i="9"/>
  <c r="AA27" i="9"/>
  <c r="AA59" i="9" s="1"/>
  <c r="AA43" i="9"/>
  <c r="AA143" i="9"/>
  <c r="AA160" i="9" s="1"/>
  <c r="AA78" i="9"/>
  <c r="AA29" i="9"/>
  <c r="AA61" i="9" s="1"/>
  <c r="AA45" i="9"/>
  <c r="AA73" i="9"/>
  <c r="AA138" i="9"/>
  <c r="AA24" i="9"/>
  <c r="AA40" i="9"/>
  <c r="AA140" i="9"/>
  <c r="AA157" i="9" s="1"/>
  <c r="AA75" i="9"/>
  <c r="AA26" i="9"/>
  <c r="AA58" i="9" s="1"/>
  <c r="AA42" i="9"/>
  <c r="AA142" i="9"/>
  <c r="AA159" i="9" s="1"/>
  <c r="AA77" i="9"/>
  <c r="AA28" i="9"/>
  <c r="AA60" i="9" s="1"/>
  <c r="AA44" i="9"/>
  <c r="AA144" i="9"/>
  <c r="AA161" i="9" s="1"/>
  <c r="AA79" i="9"/>
  <c r="AA30" i="9"/>
  <c r="AA62" i="9" s="1"/>
  <c r="AA46" i="9"/>
  <c r="AA146" i="9"/>
  <c r="AA81" i="9"/>
  <c r="AA32" i="9"/>
  <c r="AA64" i="9" s="1"/>
  <c r="AA48" i="9"/>
  <c r="O142" i="9"/>
  <c r="O159" i="9" s="1"/>
  <c r="O77" i="9"/>
  <c r="O28" i="9"/>
  <c r="O60" i="9" s="1"/>
  <c r="O44" i="9"/>
  <c r="O144" i="9"/>
  <c r="O161" i="9" s="1"/>
  <c r="O79" i="9"/>
  <c r="O30" i="9"/>
  <c r="O62" i="9" s="1"/>
  <c r="O46" i="9"/>
  <c r="O146" i="9"/>
  <c r="O81" i="9"/>
  <c r="O32" i="9"/>
  <c r="O64" i="9" s="1"/>
  <c r="O48" i="9"/>
  <c r="O74" i="9"/>
  <c r="O139" i="9"/>
  <c r="O156" i="9" s="1"/>
  <c r="O25" i="9"/>
  <c r="O57" i="9" s="1"/>
  <c r="O41" i="9"/>
  <c r="O141" i="9"/>
  <c r="O158" i="9" s="1"/>
  <c r="O76" i="9"/>
  <c r="O27" i="9"/>
  <c r="O59" i="9" s="1"/>
  <c r="O43" i="9"/>
  <c r="M121" i="9"/>
  <c r="N108" i="9"/>
  <c r="N92" i="9"/>
  <c r="N124" i="9" s="1"/>
  <c r="Y121" i="9"/>
  <c r="N113" i="9"/>
  <c r="N97" i="9"/>
  <c r="N129" i="9" s="1"/>
  <c r="N111" i="9"/>
  <c r="N95" i="9"/>
  <c r="N127" i="9" s="1"/>
  <c r="N93" i="9"/>
  <c r="N125" i="9" s="1"/>
  <c r="N109" i="9"/>
  <c r="N155" i="9"/>
  <c r="Z56" i="9"/>
  <c r="Z89" i="9"/>
  <c r="Z105" i="9"/>
  <c r="AA145" i="9"/>
  <c r="AA162" i="9" s="1"/>
  <c r="AA80" i="9"/>
  <c r="AA31" i="9"/>
  <c r="AA63" i="9" s="1"/>
  <c r="AA47" i="9"/>
  <c r="O143" i="9"/>
  <c r="O160" i="9" s="1"/>
  <c r="O78" i="9"/>
  <c r="O29" i="9"/>
  <c r="O61" i="9" s="1"/>
  <c r="O45" i="9"/>
  <c r="O145" i="9"/>
  <c r="O162" i="9" s="1"/>
  <c r="O80" i="9"/>
  <c r="O31" i="9"/>
  <c r="O63" i="9" s="1"/>
  <c r="O47" i="9"/>
  <c r="O73" i="9"/>
  <c r="O138" i="9"/>
  <c r="O24" i="9"/>
  <c r="O40" i="9"/>
  <c r="O140" i="9"/>
  <c r="O157" i="9" s="1"/>
  <c r="O75" i="9"/>
  <c r="O26" i="9"/>
  <c r="O58" i="9" s="1"/>
  <c r="O42" i="9"/>
  <c r="M168" i="9"/>
  <c r="N96" i="9"/>
  <c r="N128" i="9" s="1"/>
  <c r="N112" i="9"/>
  <c r="N94" i="9"/>
  <c r="N126" i="9" s="1"/>
  <c r="N110" i="9"/>
  <c r="N106" i="9"/>
  <c r="N90" i="9"/>
  <c r="N122" i="9" s="1"/>
  <c r="Z92" i="9"/>
  <c r="Z124" i="9" s="1"/>
  <c r="Z108" i="9"/>
  <c r="N107" i="9"/>
  <c r="N91" i="9"/>
  <c r="N123" i="9" s="1"/>
  <c r="N56" i="9"/>
  <c r="N105" i="9"/>
  <c r="N89" i="9"/>
  <c r="Z97" i="9"/>
  <c r="Z129" i="9" s="1"/>
  <c r="Z113" i="9"/>
  <c r="Z95" i="9"/>
  <c r="Z127" i="9" s="1"/>
  <c r="Z111" i="9"/>
  <c r="Z93" i="9"/>
  <c r="Z125" i="9" s="1"/>
  <c r="Z109" i="9"/>
  <c r="Z90" i="9"/>
  <c r="Z122" i="9" s="1"/>
  <c r="Z106" i="9"/>
  <c r="Z91" i="9"/>
  <c r="Z123" i="9" s="1"/>
  <c r="Z107" i="9"/>
  <c r="Z96" i="9"/>
  <c r="Z128" i="9" s="1"/>
  <c r="Z112" i="9"/>
  <c r="Z110" i="9"/>
  <c r="Z94" i="9"/>
  <c r="Z126" i="9" s="1"/>
  <c r="Z155" i="9"/>
  <c r="E300" i="19"/>
  <c r="M39" i="13"/>
  <c r="M70" i="13"/>
  <c r="M72" i="13" s="1"/>
  <c r="J11" i="8"/>
  <c r="L30" i="8"/>
  <c r="J28" i="11"/>
  <c r="J29" i="15" s="1"/>
  <c r="L29" i="8"/>
  <c r="J27" i="11"/>
  <c r="J28" i="15" s="1"/>
  <c r="L31" i="8"/>
  <c r="J29" i="11"/>
  <c r="J30" i="15" s="1"/>
  <c r="N40" i="13"/>
  <c r="H6" i="11"/>
  <c r="H7" i="11" s="1"/>
  <c r="J42" i="8"/>
  <c r="I31" i="11" s="1"/>
  <c r="E302" i="19" s="1"/>
  <c r="I355" i="19"/>
  <c r="I273" i="19"/>
  <c r="J271" i="19"/>
  <c r="K17" i="11"/>
  <c r="K18" i="15" s="1"/>
  <c r="K19" i="11"/>
  <c r="K20" i="15" s="1"/>
  <c r="K21" i="11"/>
  <c r="K22" i="15" s="1"/>
  <c r="L25" i="8"/>
  <c r="K23" i="11" s="1"/>
  <c r="K24" i="15" s="1"/>
  <c r="L27" i="8"/>
  <c r="K25" i="11" s="1"/>
  <c r="K26" i="15" s="1"/>
  <c r="K18" i="11"/>
  <c r="K19" i="15" s="1"/>
  <c r="L24" i="8"/>
  <c r="K22" i="11" s="1"/>
  <c r="K23" i="15" s="1"/>
  <c r="M28" i="8"/>
  <c r="L26" i="11" s="1"/>
  <c r="L27" i="15" s="1"/>
  <c r="K20" i="11"/>
  <c r="K21" i="15" s="1"/>
  <c r="M26" i="8"/>
  <c r="L24" i="11" s="1"/>
  <c r="L25" i="15" s="1"/>
  <c r="K10" i="8"/>
  <c r="AI10" i="8"/>
  <c r="W10" i="8"/>
  <c r="O14" i="11"/>
  <c r="O15" i="15" s="1"/>
  <c r="O16" i="11"/>
  <c r="O17" i="15" s="1"/>
  <c r="Z11" i="11"/>
  <c r="AK12" i="11"/>
  <c r="AK13" i="15" s="1"/>
  <c r="O15" i="11"/>
  <c r="O16" i="15" s="1"/>
  <c r="I353" i="19"/>
  <c r="K17" i="13"/>
  <c r="K19" i="13" s="1"/>
  <c r="J277" i="19"/>
  <c r="L15" i="13"/>
  <c r="I267" i="19"/>
  <c r="G71" i="41"/>
  <c r="G72" i="41" s="1"/>
  <c r="G267" i="19"/>
  <c r="E71" i="41"/>
  <c r="E72" i="41" s="1"/>
  <c r="F267" i="19"/>
  <c r="D71" i="41"/>
  <c r="D72" i="41" s="1"/>
  <c r="K22" i="7"/>
  <c r="AM6" i="7"/>
  <c r="Z44" i="7"/>
  <c r="AA3" i="9" s="1"/>
  <c r="M58" i="7"/>
  <c r="I8" i="8"/>
  <c r="J4" i="8"/>
  <c r="AA5" i="7"/>
  <c r="AA6" i="7"/>
  <c r="AA7" i="7"/>
  <c r="I6" i="8"/>
  <c r="AM7" i="7"/>
  <c r="Z45" i="7"/>
  <c r="AA4" i="9" s="1"/>
  <c r="AM5" i="7"/>
  <c r="AM43" i="7" s="1"/>
  <c r="Z43" i="7"/>
  <c r="AA2" i="9" s="1"/>
  <c r="N57" i="7"/>
  <c r="P16" i="9" s="1"/>
  <c r="N56" i="7"/>
  <c r="P15" i="9" s="1"/>
  <c r="N55" i="7"/>
  <c r="P14" i="9" s="1"/>
  <c r="N54" i="7"/>
  <c r="P13" i="9" s="1"/>
  <c r="N53" i="7"/>
  <c r="P12" i="9" s="1"/>
  <c r="N52" i="7"/>
  <c r="P11" i="9" s="1"/>
  <c r="N51" i="7"/>
  <c r="P10" i="9" s="1"/>
  <c r="N50" i="7"/>
  <c r="P9" i="9" s="1"/>
  <c r="N49" i="7"/>
  <c r="P8" i="9" s="1"/>
  <c r="N48" i="7"/>
  <c r="P7" i="9" s="1"/>
  <c r="N47" i="7"/>
  <c r="P6" i="9" s="1"/>
  <c r="N46" i="7"/>
  <c r="P5" i="9" s="1"/>
  <c r="N45" i="7"/>
  <c r="P4" i="9" s="1"/>
  <c r="N44" i="7"/>
  <c r="P3" i="9" s="1"/>
  <c r="N43" i="7"/>
  <c r="P2" i="9" s="1"/>
  <c r="O40" i="7"/>
  <c r="L14" i="13"/>
  <c r="C118" i="19"/>
  <c r="J264" i="19"/>
  <c r="L16" i="13"/>
  <c r="I5" i="11"/>
  <c r="M14" i="13"/>
  <c r="S58" i="7"/>
  <c r="E267" i="19"/>
  <c r="F346" i="19"/>
  <c r="H32" i="8"/>
  <c r="E388" i="19"/>
  <c r="F299" i="19"/>
  <c r="F387" i="19"/>
  <c r="P103" i="22"/>
  <c r="J12" i="8" s="1"/>
  <c r="F383" i="19"/>
  <c r="J270" i="19"/>
  <c r="J351" i="19"/>
  <c r="H9" i="11"/>
  <c r="Q69" i="22"/>
  <c r="O6" i="13"/>
  <c r="K12" i="15" s="1"/>
  <c r="L4" i="7"/>
  <c r="M42" i="7"/>
  <c r="M371" i="43" s="1"/>
  <c r="AE31" i="43" s="1"/>
  <c r="AM8" i="7"/>
  <c r="AM10" i="7"/>
  <c r="AM12" i="7"/>
  <c r="AM14" i="7"/>
  <c r="AM16" i="7"/>
  <c r="AM18" i="7"/>
  <c r="AB2" i="7"/>
  <c r="AA19" i="7"/>
  <c r="AA57" i="7" s="1"/>
  <c r="AB16" i="9" s="1"/>
  <c r="AA18" i="7"/>
  <c r="AA56" i="7" s="1"/>
  <c r="AB15" i="9" s="1"/>
  <c r="AA17" i="7"/>
  <c r="AA55" i="7" s="1"/>
  <c r="AB14" i="9" s="1"/>
  <c r="AA16" i="7"/>
  <c r="AA54" i="7" s="1"/>
  <c r="AB13" i="9" s="1"/>
  <c r="AA15" i="7"/>
  <c r="AA53" i="7" s="1"/>
  <c r="AB12" i="9" s="1"/>
  <c r="AA14" i="7"/>
  <c r="AA52" i="7" s="1"/>
  <c r="AB11" i="9" s="1"/>
  <c r="AA12" i="7"/>
  <c r="AA50" i="7" s="1"/>
  <c r="AB9" i="9" s="1"/>
  <c r="AA10" i="7"/>
  <c r="AA48" i="7" s="1"/>
  <c r="AB7" i="9" s="1"/>
  <c r="AA8" i="7"/>
  <c r="AA46" i="7" s="1"/>
  <c r="AB5" i="9" s="1"/>
  <c r="AA13" i="7"/>
  <c r="AA51" i="7" s="1"/>
  <c r="AB10" i="9" s="1"/>
  <c r="AA11" i="7"/>
  <c r="AA49" i="7" s="1"/>
  <c r="AB8" i="9" s="1"/>
  <c r="AA9" i="7"/>
  <c r="AA47" i="7" s="1"/>
  <c r="AB6" i="9" s="1"/>
  <c r="AM9" i="7"/>
  <c r="AM11" i="7"/>
  <c r="AM13" i="7"/>
  <c r="AM15" i="7"/>
  <c r="AM17" i="7"/>
  <c r="AM19" i="7"/>
  <c r="L2" i="11"/>
  <c r="G287" i="19"/>
  <c r="M7" i="13"/>
  <c r="M8" i="13"/>
  <c r="N2" i="13"/>
  <c r="N3" i="13" s="1"/>
  <c r="O1" i="9"/>
  <c r="L71" i="13" l="1"/>
  <c r="AK111" i="9"/>
  <c r="H7" i="15"/>
  <c r="J348" i="19" s="1"/>
  <c r="I4" i="15"/>
  <c r="I5" i="15" s="1"/>
  <c r="K44" i="51"/>
  <c r="K2" i="15"/>
  <c r="F374" i="19"/>
  <c r="AK113" i="9"/>
  <c r="AK85" i="9"/>
  <c r="AK117" i="9" s="1"/>
  <c r="AK106" i="9"/>
  <c r="AK107" i="9"/>
  <c r="N163" i="9"/>
  <c r="M98" i="9"/>
  <c r="AK104" i="9"/>
  <c r="AK110" i="9"/>
  <c r="AK87" i="9"/>
  <c r="AK119" i="9" s="1"/>
  <c r="AK108" i="9"/>
  <c r="AK96" i="9"/>
  <c r="AK128" i="9" s="1"/>
  <c r="AK89" i="9"/>
  <c r="AK121" i="9" s="1"/>
  <c r="AK102" i="9"/>
  <c r="AK93" i="9"/>
  <c r="AK125" i="9" s="1"/>
  <c r="AL135" i="9"/>
  <c r="AL152" i="9" s="1"/>
  <c r="AL70" i="9"/>
  <c r="AL86" i="9" s="1"/>
  <c r="AL118" i="9" s="1"/>
  <c r="AL21" i="9"/>
  <c r="AL53" i="9" s="1"/>
  <c r="AL142" i="9"/>
  <c r="AL159" i="9" s="1"/>
  <c r="AL77" i="9"/>
  <c r="AL93" i="9" s="1"/>
  <c r="AL125" i="9" s="1"/>
  <c r="AL28" i="9"/>
  <c r="AL60" i="9" s="1"/>
  <c r="AL138" i="9"/>
  <c r="AL155" i="9" s="1"/>
  <c r="AL24" i="9"/>
  <c r="AL56" i="9" s="1"/>
  <c r="AL73" i="9"/>
  <c r="AL89" i="9" s="1"/>
  <c r="AL121" i="9" s="1"/>
  <c r="AL133" i="9"/>
  <c r="AL68" i="9"/>
  <c r="AL140" i="9"/>
  <c r="AL157" i="9" s="1"/>
  <c r="AL75" i="9"/>
  <c r="AL91" i="9" s="1"/>
  <c r="AL123" i="9" s="1"/>
  <c r="AL26" i="9"/>
  <c r="AL58" i="9" s="1"/>
  <c r="AL137" i="9"/>
  <c r="AL154" i="9" s="1"/>
  <c r="AL72" i="9"/>
  <c r="AL104" i="9" s="1"/>
  <c r="AL39" i="9"/>
  <c r="AL145" i="9"/>
  <c r="AL162" i="9" s="1"/>
  <c r="AL80" i="9"/>
  <c r="AL96" i="9" s="1"/>
  <c r="AL128" i="9" s="1"/>
  <c r="AL31" i="9"/>
  <c r="AL63" i="9" s="1"/>
  <c r="AL134" i="9"/>
  <c r="AL151" i="9" s="1"/>
  <c r="AL69" i="9"/>
  <c r="AL85" i="9" s="1"/>
  <c r="AL117" i="9" s="1"/>
  <c r="AL20" i="9"/>
  <c r="AL52" i="9" s="1"/>
  <c r="AL136" i="9"/>
  <c r="AL153" i="9" s="1"/>
  <c r="AL71" i="9"/>
  <c r="AL87" i="9" s="1"/>
  <c r="AL119" i="9" s="1"/>
  <c r="AL38" i="9"/>
  <c r="AL146" i="9"/>
  <c r="AL81" i="9"/>
  <c r="AL97" i="9" s="1"/>
  <c r="AL129" i="9" s="1"/>
  <c r="AL32" i="9"/>
  <c r="AL64" i="9" s="1"/>
  <c r="AL143" i="9"/>
  <c r="AL160" i="9" s="1"/>
  <c r="AL78" i="9"/>
  <c r="AL94" i="9" s="1"/>
  <c r="AL126" i="9" s="1"/>
  <c r="AL45" i="9"/>
  <c r="AL139" i="9"/>
  <c r="AL156" i="9" s="1"/>
  <c r="AL41" i="9"/>
  <c r="AL74" i="9"/>
  <c r="AL90" i="9" s="1"/>
  <c r="AL122" i="9" s="1"/>
  <c r="AL144" i="9"/>
  <c r="AL161" i="9" s="1"/>
  <c r="AL30" i="9"/>
  <c r="AL62" i="9" s="1"/>
  <c r="AL79" i="9"/>
  <c r="AL95" i="9" s="1"/>
  <c r="AL127" i="9" s="1"/>
  <c r="AL141" i="9"/>
  <c r="AL158" i="9" s="1"/>
  <c r="AL27" i="9"/>
  <c r="AL59" i="9" s="1"/>
  <c r="AL76" i="9"/>
  <c r="AL92" i="9" s="1"/>
  <c r="AL124" i="9" s="1"/>
  <c r="AM57" i="7"/>
  <c r="AM16" i="9" s="1"/>
  <c r="AM53" i="7"/>
  <c r="AM12" i="9" s="1"/>
  <c r="AM49" i="7"/>
  <c r="AM8" i="9" s="1"/>
  <c r="AM54" i="7"/>
  <c r="AM13" i="9" s="1"/>
  <c r="AM50" i="7"/>
  <c r="AM9" i="9" s="1"/>
  <c r="AM46" i="7"/>
  <c r="AM5" i="9" s="1"/>
  <c r="AM44" i="7"/>
  <c r="AM3" i="9" s="1"/>
  <c r="AM55" i="7"/>
  <c r="AM14" i="9" s="1"/>
  <c r="AM51" i="7"/>
  <c r="AM10" i="9" s="1"/>
  <c r="AM47" i="7"/>
  <c r="AM6" i="9" s="1"/>
  <c r="AM56" i="7"/>
  <c r="AM15" i="9" s="1"/>
  <c r="AM52" i="7"/>
  <c r="AM11" i="9" s="1"/>
  <c r="AM48" i="7"/>
  <c r="AM7" i="9" s="1"/>
  <c r="AM45" i="7"/>
  <c r="AM4" i="9" s="1"/>
  <c r="AL22" i="9"/>
  <c r="AL54" i="9" s="1"/>
  <c r="AL23" i="9"/>
  <c r="AL55" i="9" s="1"/>
  <c r="AL29" i="9"/>
  <c r="AL61" i="9" s="1"/>
  <c r="AL25" i="9"/>
  <c r="AL57" i="9" s="1"/>
  <c r="AL36" i="9"/>
  <c r="AL42" i="9"/>
  <c r="AL43" i="9"/>
  <c r="AL47" i="9"/>
  <c r="AL40" i="9"/>
  <c r="AL44" i="9"/>
  <c r="AL48" i="9"/>
  <c r="AL37" i="9"/>
  <c r="AL46" i="9"/>
  <c r="M50" i="13"/>
  <c r="M51" i="13" s="1"/>
  <c r="M52" i="13" s="1"/>
  <c r="K370" i="43"/>
  <c r="M165" i="9"/>
  <c r="N65" i="9"/>
  <c r="N33" i="9"/>
  <c r="N147" i="9"/>
  <c r="A49" i="43"/>
  <c r="B49" i="43" s="1"/>
  <c r="C48" i="43"/>
  <c r="R69" i="22"/>
  <c r="L11" i="8" s="1"/>
  <c r="I36" i="15"/>
  <c r="J10" i="15"/>
  <c r="N5" i="13"/>
  <c r="F388" i="19"/>
  <c r="I37" i="15"/>
  <c r="E394" i="19" s="1"/>
  <c r="L166" i="9"/>
  <c r="X165" i="9"/>
  <c r="AB136" i="9"/>
  <c r="AB153" i="9" s="1"/>
  <c r="AB71" i="9"/>
  <c r="AF87" i="9" s="1"/>
  <c r="AF119" i="9" s="1"/>
  <c r="AB22" i="9"/>
  <c r="AB54" i="9" s="1"/>
  <c r="AB38" i="9"/>
  <c r="O132" i="9"/>
  <c r="O67" i="9"/>
  <c r="S83" i="9" s="1"/>
  <c r="O18" i="9"/>
  <c r="O50" i="9" s="1"/>
  <c r="O34" i="9"/>
  <c r="O49" i="9" s="1"/>
  <c r="P134" i="9"/>
  <c r="P151" i="9" s="1"/>
  <c r="P69" i="9"/>
  <c r="T85" i="9" s="1"/>
  <c r="T117" i="9" s="1"/>
  <c r="P20" i="9"/>
  <c r="P52" i="9" s="1"/>
  <c r="P36" i="9"/>
  <c r="P136" i="9"/>
  <c r="P153" i="9" s="1"/>
  <c r="P71" i="9"/>
  <c r="T87" i="9" s="1"/>
  <c r="T119" i="9" s="1"/>
  <c r="P22" i="9"/>
  <c r="P54" i="9" s="1"/>
  <c r="P38" i="9"/>
  <c r="AA133" i="9"/>
  <c r="AA150" i="9" s="1"/>
  <c r="AA68" i="9"/>
  <c r="AA19" i="9"/>
  <c r="AA51" i="9" s="1"/>
  <c r="AA35" i="9"/>
  <c r="AA135" i="9"/>
  <c r="AA152" i="9" s="1"/>
  <c r="AA70" i="9"/>
  <c r="AE86" i="9" s="1"/>
  <c r="AE118" i="9" s="1"/>
  <c r="AA21" i="9"/>
  <c r="AA53" i="9" s="1"/>
  <c r="AA37" i="9"/>
  <c r="O102" i="9"/>
  <c r="O86" i="9"/>
  <c r="O118" i="9" s="1"/>
  <c r="Z84" i="9"/>
  <c r="Z116" i="9" s="1"/>
  <c r="Z100" i="9"/>
  <c r="Y50" i="9"/>
  <c r="Y65" i="9" s="1"/>
  <c r="Y33" i="9"/>
  <c r="Y149" i="9"/>
  <c r="Y163" i="9" s="1"/>
  <c r="Y147" i="9"/>
  <c r="O88" i="9"/>
  <c r="O120" i="9" s="1"/>
  <c r="O104" i="9"/>
  <c r="O100" i="9"/>
  <c r="O84" i="9"/>
  <c r="O116" i="9" s="1"/>
  <c r="Z85" i="9"/>
  <c r="Z117" i="9" s="1"/>
  <c r="Z101" i="9"/>
  <c r="N99" i="9"/>
  <c r="N114" i="9" s="1"/>
  <c r="N83" i="9"/>
  <c r="N115" i="9" s="1"/>
  <c r="AA103" i="9"/>
  <c r="AA87" i="9"/>
  <c r="AA119" i="9" s="1"/>
  <c r="AB137" i="9"/>
  <c r="AB154" i="9" s="1"/>
  <c r="AB72" i="9"/>
  <c r="AB23" i="9"/>
  <c r="AB55" i="9" s="1"/>
  <c r="AB39" i="9"/>
  <c r="P133" i="9"/>
  <c r="P150" i="9" s="1"/>
  <c r="P68" i="9"/>
  <c r="T84" i="9" s="1"/>
  <c r="T116" i="9" s="1"/>
  <c r="P19" i="9"/>
  <c r="P51" i="9" s="1"/>
  <c r="P35" i="9"/>
  <c r="P135" i="9"/>
  <c r="P152" i="9" s="1"/>
  <c r="P70" i="9"/>
  <c r="T86" i="9" s="1"/>
  <c r="T118" i="9" s="1"/>
  <c r="P21" i="9"/>
  <c r="P53" i="9" s="1"/>
  <c r="P37" i="9"/>
  <c r="P137" i="9"/>
  <c r="P154" i="9" s="1"/>
  <c r="P72" i="9"/>
  <c r="P23" i="9"/>
  <c r="P55" i="9" s="1"/>
  <c r="P39" i="9"/>
  <c r="AA134" i="9"/>
  <c r="AA151" i="9" s="1"/>
  <c r="AA69" i="9"/>
  <c r="AE85" i="9" s="1"/>
  <c r="AE117" i="9" s="1"/>
  <c r="AA20" i="9"/>
  <c r="AA52" i="9" s="1"/>
  <c r="AA36" i="9"/>
  <c r="N82" i="9"/>
  <c r="N168" i="9" s="1"/>
  <c r="O17" i="9"/>
  <c r="K4" i="11" s="1"/>
  <c r="M130" i="9"/>
  <c r="Z132" i="9"/>
  <c r="Z67" i="9"/>
  <c r="Z18" i="9"/>
  <c r="Z34" i="9"/>
  <c r="Z49" i="9" s="1"/>
  <c r="Z17" i="9"/>
  <c r="W166" i="9"/>
  <c r="X115" i="9"/>
  <c r="X130" i="9" s="1"/>
  <c r="X98" i="9"/>
  <c r="Y83" i="9"/>
  <c r="Y99" i="9"/>
  <c r="Y114" i="9" s="1"/>
  <c r="Y82" i="9"/>
  <c r="Y168" i="9" s="1"/>
  <c r="O103" i="9"/>
  <c r="O87" i="9"/>
  <c r="O119" i="9" s="1"/>
  <c r="O101" i="9"/>
  <c r="O85" i="9"/>
  <c r="O117" i="9" s="1"/>
  <c r="Z86" i="9"/>
  <c r="Z118" i="9" s="1"/>
  <c r="Z102" i="9"/>
  <c r="AA88" i="9"/>
  <c r="AA120" i="9" s="1"/>
  <c r="AA104" i="9"/>
  <c r="AB139" i="9"/>
  <c r="AB156" i="9" s="1"/>
  <c r="AB74" i="9"/>
  <c r="AB25" i="9"/>
  <c r="AB57" i="9" s="1"/>
  <c r="AB41" i="9"/>
  <c r="AB143" i="9"/>
  <c r="AB160" i="9" s="1"/>
  <c r="AB78" i="9"/>
  <c r="AB29" i="9"/>
  <c r="AB61" i="9" s="1"/>
  <c r="AB45" i="9"/>
  <c r="AB141" i="9"/>
  <c r="AB158" i="9" s="1"/>
  <c r="AB76" i="9"/>
  <c r="AB27" i="9"/>
  <c r="AB59" i="9" s="1"/>
  <c r="AB43" i="9"/>
  <c r="AB138" i="9"/>
  <c r="AB73" i="9"/>
  <c r="AB24" i="9"/>
  <c r="AB40" i="9"/>
  <c r="AB142" i="9"/>
  <c r="AB159" i="9" s="1"/>
  <c r="AB77" i="9"/>
  <c r="AB28" i="9"/>
  <c r="AB60" i="9" s="1"/>
  <c r="AB44" i="9"/>
  <c r="AB144" i="9"/>
  <c r="AB161" i="9" s="1"/>
  <c r="AB79" i="9"/>
  <c r="AB30" i="9"/>
  <c r="AB62" i="9" s="1"/>
  <c r="AB46" i="9"/>
  <c r="AB146" i="9"/>
  <c r="AB81" i="9"/>
  <c r="AB32" i="9"/>
  <c r="AB64" i="9" s="1"/>
  <c r="AB48" i="9"/>
  <c r="P139" i="9"/>
  <c r="P156" i="9" s="1"/>
  <c r="P74" i="9"/>
  <c r="P25" i="9"/>
  <c r="P57" i="9" s="1"/>
  <c r="P41" i="9"/>
  <c r="P141" i="9"/>
  <c r="P158" i="9" s="1"/>
  <c r="P76" i="9"/>
  <c r="P27" i="9"/>
  <c r="P59" i="9" s="1"/>
  <c r="P43" i="9"/>
  <c r="P143" i="9"/>
  <c r="P160" i="9" s="1"/>
  <c r="P78" i="9"/>
  <c r="P29" i="9"/>
  <c r="P61" i="9" s="1"/>
  <c r="P45" i="9"/>
  <c r="P145" i="9"/>
  <c r="P162" i="9" s="1"/>
  <c r="P80" i="9"/>
  <c r="P31" i="9"/>
  <c r="P63" i="9" s="1"/>
  <c r="P47" i="9"/>
  <c r="N121" i="9"/>
  <c r="O56" i="9"/>
  <c r="O155" i="9"/>
  <c r="O112" i="9"/>
  <c r="O96" i="9"/>
  <c r="O128" i="9" s="1"/>
  <c r="O110" i="9"/>
  <c r="O94" i="9"/>
  <c r="O126" i="9" s="1"/>
  <c r="AA112" i="9"/>
  <c r="AA96" i="9"/>
  <c r="AA128" i="9" s="1"/>
  <c r="Z121" i="9"/>
  <c r="O106" i="9"/>
  <c r="O90" i="9"/>
  <c r="O122" i="9" s="1"/>
  <c r="AA56" i="9"/>
  <c r="AA155" i="9"/>
  <c r="AA94" i="9"/>
  <c r="AA126" i="9" s="1"/>
  <c r="AA110" i="9"/>
  <c r="AA108" i="9"/>
  <c r="AA92" i="9"/>
  <c r="AA124" i="9" s="1"/>
  <c r="AB140" i="9"/>
  <c r="AB157" i="9" s="1"/>
  <c r="AB75" i="9"/>
  <c r="AB26" i="9"/>
  <c r="AB58" i="9" s="1"/>
  <c r="AB42" i="9"/>
  <c r="AB145" i="9"/>
  <c r="AB162" i="9" s="1"/>
  <c r="AB80" i="9"/>
  <c r="AB31" i="9"/>
  <c r="AB63" i="9" s="1"/>
  <c r="AB47" i="9"/>
  <c r="P138" i="9"/>
  <c r="P73" i="9"/>
  <c r="P24" i="9"/>
  <c r="P40" i="9"/>
  <c r="P140" i="9"/>
  <c r="P157" i="9" s="1"/>
  <c r="P75" i="9"/>
  <c r="P26" i="9"/>
  <c r="P58" i="9" s="1"/>
  <c r="P42" i="9"/>
  <c r="P142" i="9"/>
  <c r="P159" i="9" s="1"/>
  <c r="P77" i="9"/>
  <c r="P28" i="9"/>
  <c r="P60" i="9" s="1"/>
  <c r="P44" i="9"/>
  <c r="P144" i="9"/>
  <c r="P161" i="9" s="1"/>
  <c r="P79" i="9"/>
  <c r="P30" i="9"/>
  <c r="P62" i="9" s="1"/>
  <c r="P46" i="9"/>
  <c r="P146" i="9"/>
  <c r="P81" i="9"/>
  <c r="P32" i="9"/>
  <c r="P64" i="9" s="1"/>
  <c r="P48" i="9"/>
  <c r="O107" i="9"/>
  <c r="O91" i="9"/>
  <c r="O123" i="9" s="1"/>
  <c r="O105" i="9"/>
  <c r="O89" i="9"/>
  <c r="O108" i="9"/>
  <c r="O92" i="9"/>
  <c r="O124" i="9" s="1"/>
  <c r="O97" i="9"/>
  <c r="O129" i="9" s="1"/>
  <c r="O113" i="9"/>
  <c r="O95" i="9"/>
  <c r="O127" i="9" s="1"/>
  <c r="O111" i="9"/>
  <c r="O93" i="9"/>
  <c r="O125" i="9" s="1"/>
  <c r="O109" i="9"/>
  <c r="AA113" i="9"/>
  <c r="AA97" i="9"/>
  <c r="AA129" i="9" s="1"/>
  <c r="AA111" i="9"/>
  <c r="AA95" i="9"/>
  <c r="AA127" i="9" s="1"/>
  <c r="AA109" i="9"/>
  <c r="AA93" i="9"/>
  <c r="AA125" i="9" s="1"/>
  <c r="AA107" i="9"/>
  <c r="AA91" i="9"/>
  <c r="AA123" i="9" s="1"/>
  <c r="AA105" i="9"/>
  <c r="AA89" i="9"/>
  <c r="AA106" i="9"/>
  <c r="AA90" i="9"/>
  <c r="AA122" i="9" s="1"/>
  <c r="J266" i="19"/>
  <c r="N70" i="13"/>
  <c r="N72" i="13" s="1"/>
  <c r="N39" i="13"/>
  <c r="K11" i="8"/>
  <c r="M31" i="8"/>
  <c r="K29" i="11"/>
  <c r="K30" i="15" s="1"/>
  <c r="M29" i="8"/>
  <c r="K27" i="11"/>
  <c r="K28" i="15" s="1"/>
  <c r="M30" i="8"/>
  <c r="K28" i="11"/>
  <c r="K29" i="15" s="1"/>
  <c r="O40" i="13"/>
  <c r="I6" i="11"/>
  <c r="I7" i="11" s="1"/>
  <c r="H8" i="15"/>
  <c r="K42" i="8"/>
  <c r="J31" i="11" s="1"/>
  <c r="F302" i="19" s="1"/>
  <c r="F300" i="19"/>
  <c r="P15" i="11"/>
  <c r="P16" i="15" s="1"/>
  <c r="P13" i="11"/>
  <c r="P14" i="15" s="1"/>
  <c r="AL12" i="11"/>
  <c r="AL13" i="15" s="1"/>
  <c r="AA11" i="11"/>
  <c r="P16" i="11"/>
  <c r="P17" i="15" s="1"/>
  <c r="P14" i="11"/>
  <c r="P15" i="15" s="1"/>
  <c r="X10" i="8"/>
  <c r="AJ10" i="8"/>
  <c r="L10" i="8"/>
  <c r="J354" i="19"/>
  <c r="J272" i="19"/>
  <c r="E296" i="19"/>
  <c r="J355" i="19"/>
  <c r="J273" i="19"/>
  <c r="N26" i="8"/>
  <c r="M24" i="11" s="1"/>
  <c r="M25" i="15" s="1"/>
  <c r="L20" i="11"/>
  <c r="L21" i="15" s="1"/>
  <c r="N28" i="8"/>
  <c r="M26" i="11" s="1"/>
  <c r="M27" i="15" s="1"/>
  <c r="M24" i="8"/>
  <c r="L22" i="11" s="1"/>
  <c r="L23" i="15" s="1"/>
  <c r="L18" i="11"/>
  <c r="L19" i="15" s="1"/>
  <c r="M27" i="8"/>
  <c r="L25" i="11" s="1"/>
  <c r="L26" i="15" s="1"/>
  <c r="M25" i="8"/>
  <c r="L23" i="11" s="1"/>
  <c r="L24" i="15" s="1"/>
  <c r="L21" i="11"/>
  <c r="L22" i="15" s="1"/>
  <c r="L19" i="11"/>
  <c r="L20" i="15" s="1"/>
  <c r="L17" i="11"/>
  <c r="L18" i="15" s="1"/>
  <c r="J353" i="19"/>
  <c r="L17" i="13"/>
  <c r="L19" i="13" s="1"/>
  <c r="V27" i="41"/>
  <c r="W27" i="41"/>
  <c r="M15" i="13"/>
  <c r="L22" i="7"/>
  <c r="J6" i="8"/>
  <c r="E290" i="19"/>
  <c r="N58" i="7"/>
  <c r="J265" i="19"/>
  <c r="AN6" i="7"/>
  <c r="AA44" i="7"/>
  <c r="AB3" i="9" s="1"/>
  <c r="M16" i="13"/>
  <c r="C119" i="19"/>
  <c r="E289" i="19"/>
  <c r="N14" i="13"/>
  <c r="AB5" i="7"/>
  <c r="AB6" i="7"/>
  <c r="AB7" i="7"/>
  <c r="O57" i="7"/>
  <c r="Q16" i="9" s="1"/>
  <c r="O56" i="7"/>
  <c r="Q15" i="9" s="1"/>
  <c r="O55" i="7"/>
  <c r="Q14" i="9" s="1"/>
  <c r="O54" i="7"/>
  <c r="Q13" i="9" s="1"/>
  <c r="O53" i="7"/>
  <c r="Q12" i="9" s="1"/>
  <c r="O52" i="7"/>
  <c r="Q11" i="9" s="1"/>
  <c r="O51" i="7"/>
  <c r="Q10" i="9" s="1"/>
  <c r="O50" i="7"/>
  <c r="Q9" i="9" s="1"/>
  <c r="O49" i="7"/>
  <c r="Q8" i="9" s="1"/>
  <c r="O48" i="7"/>
  <c r="Q7" i="9" s="1"/>
  <c r="O47" i="7"/>
  <c r="Q6" i="9" s="1"/>
  <c r="O46" i="7"/>
  <c r="Q5" i="9" s="1"/>
  <c r="O45" i="7"/>
  <c r="Q4" i="9" s="1"/>
  <c r="O44" i="7"/>
  <c r="Q3" i="9" s="1"/>
  <c r="O43" i="7"/>
  <c r="Q2" i="9" s="1"/>
  <c r="P40" i="7"/>
  <c r="AN7" i="7"/>
  <c r="AA45" i="7"/>
  <c r="AB4" i="9" s="1"/>
  <c r="AA43" i="7"/>
  <c r="AB2" i="9" s="1"/>
  <c r="AN5" i="7"/>
  <c r="AN43" i="7" s="1"/>
  <c r="J8" i="8"/>
  <c r="J346" i="19"/>
  <c r="J345" i="19"/>
  <c r="K4" i="8"/>
  <c r="I10" i="11"/>
  <c r="J11" i="15" s="1"/>
  <c r="S15" i="13"/>
  <c r="O4" i="11"/>
  <c r="S14" i="13"/>
  <c r="S16" i="13"/>
  <c r="I270" i="19"/>
  <c r="G299" i="19"/>
  <c r="J269" i="19"/>
  <c r="I32" i="8"/>
  <c r="E382" i="19"/>
  <c r="I9" i="11"/>
  <c r="Q103" i="22"/>
  <c r="K12" i="8" s="1"/>
  <c r="J10" i="11" s="1"/>
  <c r="K11" i="15" s="1"/>
  <c r="P6" i="13"/>
  <c r="L12" i="15" s="1"/>
  <c r="M4" i="7"/>
  <c r="N42" i="7"/>
  <c r="N371" i="43" s="1"/>
  <c r="AF31" i="43" s="1"/>
  <c r="AN11" i="7"/>
  <c r="AN10" i="7"/>
  <c r="AN14" i="7"/>
  <c r="AN16" i="7"/>
  <c r="AN18" i="7"/>
  <c r="AC2" i="7"/>
  <c r="AB19" i="7"/>
  <c r="AB57" i="7" s="1"/>
  <c r="AC16" i="9" s="1"/>
  <c r="AB18" i="7"/>
  <c r="AB56" i="7" s="1"/>
  <c r="AC15" i="9" s="1"/>
  <c r="AB17" i="7"/>
  <c r="AB55" i="7" s="1"/>
  <c r="AC14" i="9" s="1"/>
  <c r="AB16" i="7"/>
  <c r="AB54" i="7" s="1"/>
  <c r="AC13" i="9" s="1"/>
  <c r="AB15" i="7"/>
  <c r="AB53" i="7" s="1"/>
  <c r="AC12" i="9" s="1"/>
  <c r="AB14" i="7"/>
  <c r="AB52" i="7" s="1"/>
  <c r="AC11" i="9" s="1"/>
  <c r="AB13" i="7"/>
  <c r="AB51" i="7" s="1"/>
  <c r="AC10" i="9" s="1"/>
  <c r="AB12" i="7"/>
  <c r="AB50" i="7" s="1"/>
  <c r="AC9" i="9" s="1"/>
  <c r="AB11" i="7"/>
  <c r="AB49" i="7" s="1"/>
  <c r="AC8" i="9" s="1"/>
  <c r="AB10" i="7"/>
  <c r="AB48" i="7" s="1"/>
  <c r="AC7" i="9" s="1"/>
  <c r="AB9" i="7"/>
  <c r="AB47" i="7" s="1"/>
  <c r="AC6" i="9" s="1"/>
  <c r="AB8" i="7"/>
  <c r="AB46" i="7" s="1"/>
  <c r="AC5" i="9" s="1"/>
  <c r="AN9" i="7"/>
  <c r="AN13" i="7"/>
  <c r="AN8" i="7"/>
  <c r="AN12" i="7"/>
  <c r="AN15" i="7"/>
  <c r="AN17" i="7"/>
  <c r="AN19" i="7"/>
  <c r="O2" i="13"/>
  <c r="O3" i="13" s="1"/>
  <c r="P1" i="9"/>
  <c r="N8" i="13"/>
  <c r="N7" i="13"/>
  <c r="J36" i="15" s="1"/>
  <c r="H287" i="19"/>
  <c r="M2" i="11"/>
  <c r="M71" i="13" l="1"/>
  <c r="AL88" i="9"/>
  <c r="AL120" i="9" s="1"/>
  <c r="J4" i="15"/>
  <c r="J5" i="15" s="1"/>
  <c r="F377" i="19" s="1"/>
  <c r="J349" i="19"/>
  <c r="I7" i="15"/>
  <c r="E379" i="19" s="1"/>
  <c r="L44" i="51"/>
  <c r="G374" i="19"/>
  <c r="L2" i="15"/>
  <c r="AL113" i="9"/>
  <c r="M166" i="9"/>
  <c r="AL101" i="9"/>
  <c r="AL108" i="9"/>
  <c r="AL102" i="9"/>
  <c r="AL111" i="9"/>
  <c r="AL105" i="9"/>
  <c r="AL106" i="9"/>
  <c r="AL103" i="9"/>
  <c r="AL109" i="9"/>
  <c r="AL112" i="9"/>
  <c r="AL107" i="9"/>
  <c r="AL110" i="9"/>
  <c r="AM72" i="9"/>
  <c r="AM88" i="9" s="1"/>
  <c r="AM120" i="9" s="1"/>
  <c r="AM137" i="9"/>
  <c r="AM154" i="9" s="1"/>
  <c r="AM39" i="9"/>
  <c r="AM80" i="9"/>
  <c r="AM96" i="9" s="1"/>
  <c r="AM128" i="9" s="1"/>
  <c r="AM145" i="9"/>
  <c r="AM162" i="9" s="1"/>
  <c r="AM47" i="9"/>
  <c r="AM75" i="9"/>
  <c r="AM107" i="9" s="1"/>
  <c r="AM140" i="9"/>
  <c r="AM157" i="9" s="1"/>
  <c r="AM42" i="9"/>
  <c r="AM68" i="9"/>
  <c r="AM133" i="9"/>
  <c r="AM74" i="9"/>
  <c r="AM106" i="9" s="1"/>
  <c r="AM139" i="9"/>
  <c r="AM156" i="9" s="1"/>
  <c r="AM41" i="9"/>
  <c r="AM73" i="9"/>
  <c r="AM105" i="9" s="1"/>
  <c r="AM40" i="9"/>
  <c r="AM138" i="9"/>
  <c r="AM155" i="9" s="1"/>
  <c r="AM81" i="9"/>
  <c r="AM97" i="9" s="1"/>
  <c r="AM129" i="9" s="1"/>
  <c r="AM48" i="9"/>
  <c r="AM146" i="9"/>
  <c r="AM69" i="9"/>
  <c r="AM85" i="9" s="1"/>
  <c r="AM117" i="9" s="1"/>
  <c r="AM134" i="9"/>
  <c r="AM151" i="9" s="1"/>
  <c r="AM36" i="9"/>
  <c r="AM76" i="9"/>
  <c r="AM92" i="9" s="1"/>
  <c r="AM124" i="9" s="1"/>
  <c r="AM141" i="9"/>
  <c r="AM158" i="9" s="1"/>
  <c r="AM43" i="9"/>
  <c r="AM71" i="9"/>
  <c r="AM103" i="9" s="1"/>
  <c r="AM136" i="9"/>
  <c r="AM153" i="9" s="1"/>
  <c r="AM38" i="9"/>
  <c r="AM79" i="9"/>
  <c r="AM95" i="9" s="1"/>
  <c r="AM127" i="9" s="1"/>
  <c r="AM46" i="9"/>
  <c r="AM144" i="9"/>
  <c r="AM161" i="9" s="1"/>
  <c r="AM70" i="9"/>
  <c r="AM102" i="9" s="1"/>
  <c r="AM135" i="9"/>
  <c r="AM152" i="9" s="1"/>
  <c r="AM37" i="9"/>
  <c r="AM78" i="9"/>
  <c r="AM110" i="9" s="1"/>
  <c r="AM143" i="9"/>
  <c r="AM160" i="9" s="1"/>
  <c r="AM45" i="9"/>
  <c r="AM77" i="9"/>
  <c r="AM93" i="9" s="1"/>
  <c r="AM125" i="9" s="1"/>
  <c r="AM142" i="9"/>
  <c r="AM159" i="9" s="1"/>
  <c r="AM44" i="9"/>
  <c r="AN55" i="7"/>
  <c r="AN14" i="9" s="1"/>
  <c r="AN50" i="7"/>
  <c r="AN9" i="9" s="1"/>
  <c r="AN51" i="7"/>
  <c r="AN10" i="9" s="1"/>
  <c r="AN54" i="7"/>
  <c r="AN13" i="9" s="1"/>
  <c r="AN48" i="7"/>
  <c r="AN7" i="9" s="1"/>
  <c r="AN45" i="7"/>
  <c r="AN4" i="9" s="1"/>
  <c r="AN57" i="7"/>
  <c r="AN16" i="9" s="1"/>
  <c r="AN53" i="7"/>
  <c r="AN12" i="9" s="1"/>
  <c r="AN46" i="7"/>
  <c r="AN5" i="9" s="1"/>
  <c r="AN47" i="7"/>
  <c r="AN6" i="9" s="1"/>
  <c r="AN56" i="7"/>
  <c r="AN15" i="9" s="1"/>
  <c r="AN52" i="7"/>
  <c r="AN11" i="9" s="1"/>
  <c r="AN49" i="7"/>
  <c r="AN8" i="9" s="1"/>
  <c r="AN44" i="7"/>
  <c r="AN3" i="9" s="1"/>
  <c r="AM21" i="9"/>
  <c r="AM53" i="9" s="1"/>
  <c r="AM22" i="9"/>
  <c r="AM54" i="9" s="1"/>
  <c r="AM26" i="9"/>
  <c r="AM58" i="9" s="1"/>
  <c r="AM30" i="9"/>
  <c r="AM62" i="9" s="1"/>
  <c r="AM25" i="9"/>
  <c r="AM57" i="9" s="1"/>
  <c r="AM29" i="9"/>
  <c r="AM61" i="9" s="1"/>
  <c r="AM20" i="9"/>
  <c r="AM52" i="9" s="1"/>
  <c r="AM24" i="9"/>
  <c r="AM56" i="9" s="1"/>
  <c r="AM28" i="9"/>
  <c r="AM60" i="9" s="1"/>
  <c r="AM32" i="9"/>
  <c r="AM64" i="9" s="1"/>
  <c r="AM23" i="9"/>
  <c r="AM55" i="9" s="1"/>
  <c r="AM27" i="9"/>
  <c r="AM59" i="9" s="1"/>
  <c r="AM31" i="9"/>
  <c r="AM63" i="9" s="1"/>
  <c r="O149" i="9"/>
  <c r="O163" i="9" s="1"/>
  <c r="N50" i="13"/>
  <c r="N51" i="13" s="1"/>
  <c r="N52" i="13" s="1"/>
  <c r="N98" i="9"/>
  <c r="L370" i="43"/>
  <c r="D48" i="43"/>
  <c r="O147" i="9"/>
  <c r="O33" i="9"/>
  <c r="N165" i="9"/>
  <c r="E291" i="19"/>
  <c r="O65" i="9"/>
  <c r="A50" i="43"/>
  <c r="B50" i="43" s="1"/>
  <c r="C49" i="43"/>
  <c r="D49" i="43" s="1"/>
  <c r="J5" i="11"/>
  <c r="F290" i="19" s="1"/>
  <c r="O82" i="9"/>
  <c r="K5" i="11" s="1"/>
  <c r="K10" i="15"/>
  <c r="O5" i="13"/>
  <c r="J37" i="15"/>
  <c r="F394" i="19" s="1"/>
  <c r="S115" i="9"/>
  <c r="S130" i="9" s="1"/>
  <c r="S98" i="9"/>
  <c r="X166" i="9"/>
  <c r="Y165" i="9"/>
  <c r="AC136" i="9"/>
  <c r="AC153" i="9" s="1"/>
  <c r="AC71" i="9"/>
  <c r="AG87" i="9" s="1"/>
  <c r="AG119" i="9" s="1"/>
  <c r="AC22" i="9"/>
  <c r="AC54" i="9" s="1"/>
  <c r="AC38" i="9"/>
  <c r="P132" i="9"/>
  <c r="P149" i="9" s="1"/>
  <c r="P67" i="9"/>
  <c r="T83" i="9" s="1"/>
  <c r="P18" i="9"/>
  <c r="P50" i="9" s="1"/>
  <c r="P34" i="9"/>
  <c r="P49" i="9" s="1"/>
  <c r="AB133" i="9"/>
  <c r="AB150" i="9" s="1"/>
  <c r="AB68" i="9"/>
  <c r="AB19" i="9"/>
  <c r="AB51" i="9" s="1"/>
  <c r="AB35" i="9"/>
  <c r="Q133" i="9"/>
  <c r="Q150" i="9" s="1"/>
  <c r="Q68" i="9"/>
  <c r="U84" i="9" s="1"/>
  <c r="U116" i="9" s="1"/>
  <c r="Q19" i="9"/>
  <c r="Q51" i="9" s="1"/>
  <c r="Q35" i="9"/>
  <c r="Q135" i="9"/>
  <c r="Q152" i="9" s="1"/>
  <c r="Q70" i="9"/>
  <c r="U86" i="9" s="1"/>
  <c r="U118" i="9" s="1"/>
  <c r="Q21" i="9"/>
  <c r="Q53" i="9" s="1"/>
  <c r="Q37" i="9"/>
  <c r="AC137" i="9"/>
  <c r="AC154" i="9" s="1"/>
  <c r="AC72" i="9"/>
  <c r="AC23" i="9"/>
  <c r="AC55" i="9" s="1"/>
  <c r="AC39" i="9"/>
  <c r="AB135" i="9"/>
  <c r="AB152" i="9" s="1"/>
  <c r="AB70" i="9"/>
  <c r="AF86" i="9" s="1"/>
  <c r="AF118" i="9" s="1"/>
  <c r="AB21" i="9"/>
  <c r="AB53" i="9" s="1"/>
  <c r="AB37" i="9"/>
  <c r="Q134" i="9"/>
  <c r="Q151" i="9" s="1"/>
  <c r="Q69" i="9"/>
  <c r="U85" i="9" s="1"/>
  <c r="U117" i="9" s="1"/>
  <c r="Q20" i="9"/>
  <c r="Q52" i="9" s="1"/>
  <c r="Q36" i="9"/>
  <c r="Q136" i="9"/>
  <c r="Q153" i="9" s="1"/>
  <c r="Q71" i="9"/>
  <c r="U87" i="9" s="1"/>
  <c r="U119" i="9" s="1"/>
  <c r="Q22" i="9"/>
  <c r="Q54" i="9" s="1"/>
  <c r="Q38" i="9"/>
  <c r="N130" i="9"/>
  <c r="Z83" i="9"/>
  <c r="Z99" i="9"/>
  <c r="Z114" i="9" s="1"/>
  <c r="Z82" i="9"/>
  <c r="Z168" i="9" s="1"/>
  <c r="AA102" i="9"/>
  <c r="AA86" i="9"/>
  <c r="AA118" i="9" s="1"/>
  <c r="AA100" i="9"/>
  <c r="AA84" i="9"/>
  <c r="AA116" i="9" s="1"/>
  <c r="P87" i="9"/>
  <c r="P119" i="9" s="1"/>
  <c r="P103" i="9"/>
  <c r="P85" i="9"/>
  <c r="P117" i="9" s="1"/>
  <c r="P101" i="9"/>
  <c r="O99" i="9"/>
  <c r="O114" i="9" s="1"/>
  <c r="O83" i="9"/>
  <c r="O115" i="9" s="1"/>
  <c r="AM113" i="9"/>
  <c r="AB87" i="9"/>
  <c r="AB119" i="9" s="1"/>
  <c r="AB103" i="9"/>
  <c r="Q137" i="9"/>
  <c r="Q154" i="9" s="1"/>
  <c r="Q72" i="9"/>
  <c r="Q23" i="9"/>
  <c r="Q55" i="9" s="1"/>
  <c r="Q39" i="9"/>
  <c r="AB134" i="9"/>
  <c r="AB151" i="9" s="1"/>
  <c r="AB69" i="9"/>
  <c r="AF85" i="9" s="1"/>
  <c r="AF117" i="9" s="1"/>
  <c r="AB20" i="9"/>
  <c r="AB52" i="9" s="1"/>
  <c r="AB36" i="9"/>
  <c r="P17" i="9"/>
  <c r="L4" i="11" s="1"/>
  <c r="Y115" i="9"/>
  <c r="Y130" i="9" s="1"/>
  <c r="Y98" i="9"/>
  <c r="Z50" i="9"/>
  <c r="Z65" i="9" s="1"/>
  <c r="Z33" i="9"/>
  <c r="Z149" i="9"/>
  <c r="Z163" i="9" s="1"/>
  <c r="Z147" i="9"/>
  <c r="AA85" i="9"/>
  <c r="AA117" i="9" s="1"/>
  <c r="AA101" i="9"/>
  <c r="P88" i="9"/>
  <c r="P120" i="9" s="1"/>
  <c r="P104" i="9"/>
  <c r="P86" i="9"/>
  <c r="P118" i="9" s="1"/>
  <c r="P102" i="9"/>
  <c r="P100" i="9"/>
  <c r="P84" i="9"/>
  <c r="P116" i="9" s="1"/>
  <c r="AB88" i="9"/>
  <c r="AB120" i="9" s="1"/>
  <c r="AB104" i="9"/>
  <c r="AM94" i="9"/>
  <c r="AM126" i="9" s="1"/>
  <c r="AA132" i="9"/>
  <c r="AA67" i="9"/>
  <c r="AA18" i="9"/>
  <c r="AA34" i="9"/>
  <c r="AA49" i="9" s="1"/>
  <c r="AA17" i="9"/>
  <c r="AC139" i="9"/>
  <c r="AC156" i="9" s="1"/>
  <c r="AC74" i="9"/>
  <c r="AC25" i="9"/>
  <c r="AC57" i="9" s="1"/>
  <c r="AC41" i="9"/>
  <c r="AC141" i="9"/>
  <c r="AC158" i="9" s="1"/>
  <c r="AC76" i="9"/>
  <c r="AC27" i="9"/>
  <c r="AC59" i="9" s="1"/>
  <c r="AC43" i="9"/>
  <c r="AC143" i="9"/>
  <c r="AC160" i="9" s="1"/>
  <c r="AC78" i="9"/>
  <c r="AC29" i="9"/>
  <c r="AC61" i="9" s="1"/>
  <c r="AC45" i="9"/>
  <c r="AC145" i="9"/>
  <c r="AC162" i="9" s="1"/>
  <c r="AC80" i="9"/>
  <c r="AC31" i="9"/>
  <c r="AC63" i="9" s="1"/>
  <c r="AC47" i="9"/>
  <c r="Q73" i="9"/>
  <c r="Q138" i="9"/>
  <c r="Q24" i="9"/>
  <c r="Q40" i="9"/>
  <c r="Q140" i="9"/>
  <c r="Q157" i="9" s="1"/>
  <c r="Q75" i="9"/>
  <c r="Q26" i="9"/>
  <c r="Q58" i="9" s="1"/>
  <c r="Q42" i="9"/>
  <c r="Q142" i="9"/>
  <c r="Q159" i="9" s="1"/>
  <c r="Q77" i="9"/>
  <c r="Q28" i="9"/>
  <c r="Q60" i="9" s="1"/>
  <c r="Q44" i="9"/>
  <c r="Q144" i="9"/>
  <c r="Q161" i="9" s="1"/>
  <c r="Q79" i="9"/>
  <c r="Q30" i="9"/>
  <c r="Q62" i="9" s="1"/>
  <c r="Q46" i="9"/>
  <c r="Q146" i="9"/>
  <c r="Q81" i="9"/>
  <c r="Q32" i="9"/>
  <c r="Q64" i="9" s="1"/>
  <c r="Q48" i="9"/>
  <c r="P97" i="9"/>
  <c r="P129" i="9" s="1"/>
  <c r="P113" i="9"/>
  <c r="P95" i="9"/>
  <c r="P127" i="9" s="1"/>
  <c r="P111" i="9"/>
  <c r="P93" i="9"/>
  <c r="P125" i="9" s="1"/>
  <c r="P109" i="9"/>
  <c r="P91" i="9"/>
  <c r="P123" i="9" s="1"/>
  <c r="P107" i="9"/>
  <c r="P155" i="9"/>
  <c r="AB56" i="9"/>
  <c r="AB89" i="9"/>
  <c r="AB105" i="9"/>
  <c r="AB92" i="9"/>
  <c r="AB124" i="9" s="1"/>
  <c r="AB108" i="9"/>
  <c r="AB94" i="9"/>
  <c r="AB126" i="9" s="1"/>
  <c r="AB110" i="9"/>
  <c r="AB90" i="9"/>
  <c r="AB122" i="9" s="1"/>
  <c r="AB106" i="9"/>
  <c r="AC73" i="9"/>
  <c r="AC138" i="9"/>
  <c r="AC24" i="9"/>
  <c r="AC40" i="9"/>
  <c r="AC140" i="9"/>
  <c r="AC157" i="9" s="1"/>
  <c r="AC75" i="9"/>
  <c r="AC42" i="9"/>
  <c r="AC26" i="9"/>
  <c r="AC58" i="9" s="1"/>
  <c r="AC142" i="9"/>
  <c r="AC159" i="9" s="1"/>
  <c r="AC77" i="9"/>
  <c r="AC44" i="9"/>
  <c r="AC28" i="9"/>
  <c r="AC60" i="9" s="1"/>
  <c r="AC144" i="9"/>
  <c r="AC161" i="9" s="1"/>
  <c r="AC79" i="9"/>
  <c r="AC46" i="9"/>
  <c r="AC30" i="9"/>
  <c r="AC62" i="9" s="1"/>
  <c r="AC146" i="9"/>
  <c r="AC81" i="9"/>
  <c r="AC48" i="9"/>
  <c r="AC32" i="9"/>
  <c r="AC64" i="9" s="1"/>
  <c r="Q74" i="9"/>
  <c r="Q139" i="9"/>
  <c r="Q156" i="9" s="1"/>
  <c r="Q25" i="9"/>
  <c r="Q57" i="9" s="1"/>
  <c r="Q41" i="9"/>
  <c r="Q141" i="9"/>
  <c r="Q158" i="9" s="1"/>
  <c r="Q76" i="9"/>
  <c r="Q27" i="9"/>
  <c r="Q59" i="9" s="1"/>
  <c r="Q43" i="9"/>
  <c r="Q143" i="9"/>
  <c r="Q160" i="9" s="1"/>
  <c r="Q78" i="9"/>
  <c r="Q29" i="9"/>
  <c r="Q61" i="9" s="1"/>
  <c r="Q45" i="9"/>
  <c r="Q145" i="9"/>
  <c r="Q162" i="9" s="1"/>
  <c r="Q80" i="9"/>
  <c r="Q31" i="9"/>
  <c r="Q63" i="9" s="1"/>
  <c r="Q47" i="9"/>
  <c r="AA121" i="9"/>
  <c r="O121" i="9"/>
  <c r="P56" i="9"/>
  <c r="P105" i="9"/>
  <c r="P89" i="9"/>
  <c r="AB96" i="9"/>
  <c r="AB128" i="9" s="1"/>
  <c r="AB112" i="9"/>
  <c r="AB91" i="9"/>
  <c r="AB123" i="9" s="1"/>
  <c r="AB107" i="9"/>
  <c r="P96" i="9"/>
  <c r="P128" i="9" s="1"/>
  <c r="P112" i="9"/>
  <c r="P94" i="9"/>
  <c r="P126" i="9" s="1"/>
  <c r="P110" i="9"/>
  <c r="P92" i="9"/>
  <c r="P124" i="9" s="1"/>
  <c r="P108" i="9"/>
  <c r="P106" i="9"/>
  <c r="P90" i="9"/>
  <c r="P122" i="9" s="1"/>
  <c r="AB97" i="9"/>
  <c r="AB129" i="9" s="1"/>
  <c r="AB113" i="9"/>
  <c r="AB95" i="9"/>
  <c r="AB127" i="9" s="1"/>
  <c r="AB111" i="9"/>
  <c r="AB93" i="9"/>
  <c r="AB125" i="9" s="1"/>
  <c r="AB109" i="9"/>
  <c r="AB155" i="9"/>
  <c r="O39" i="13"/>
  <c r="O70" i="13"/>
  <c r="O72" i="13" s="1"/>
  <c r="N71" i="13" s="1"/>
  <c r="N30" i="8"/>
  <c r="L28" i="11"/>
  <c r="L29" i="15" s="1"/>
  <c r="N29" i="8"/>
  <c r="L27" i="11"/>
  <c r="L28" i="15" s="1"/>
  <c r="N31" i="8"/>
  <c r="L29" i="11"/>
  <c r="L30" i="15" s="1"/>
  <c r="P40" i="13"/>
  <c r="O6" i="11"/>
  <c r="O8" i="15"/>
  <c r="I8" i="15"/>
  <c r="E380" i="19" s="1"/>
  <c r="J6" i="11"/>
  <c r="L42" i="8"/>
  <c r="K31" i="11" s="1"/>
  <c r="G302" i="19" s="1"/>
  <c r="P4" i="8"/>
  <c r="P42" i="8"/>
  <c r="O31" i="11" s="1"/>
  <c r="E385" i="19"/>
  <c r="E297" i="19"/>
  <c r="G300" i="19"/>
  <c r="E386" i="19"/>
  <c r="E298" i="19"/>
  <c r="M17" i="11"/>
  <c r="M18" i="15" s="1"/>
  <c r="M19" i="11"/>
  <c r="M20" i="15" s="1"/>
  <c r="M21" i="11"/>
  <c r="M22" i="15" s="1"/>
  <c r="N25" i="8"/>
  <c r="M23" i="11" s="1"/>
  <c r="M24" i="15" s="1"/>
  <c r="N27" i="8"/>
  <c r="M25" i="11" s="1"/>
  <c r="M26" i="15" s="1"/>
  <c r="M18" i="11"/>
  <c r="M19" i="15" s="1"/>
  <c r="N24" i="8"/>
  <c r="M22" i="11" s="1"/>
  <c r="M23" i="15" s="1"/>
  <c r="O28" i="8"/>
  <c r="N26" i="11" s="1"/>
  <c r="N27" i="15" s="1"/>
  <c r="M20" i="11"/>
  <c r="M21" i="15" s="1"/>
  <c r="O26" i="8"/>
  <c r="N24" i="11" s="1"/>
  <c r="N25" i="15" s="1"/>
  <c r="F296" i="19"/>
  <c r="H383" i="19"/>
  <c r="M17" i="13"/>
  <c r="M19" i="13" s="1"/>
  <c r="E384" i="19"/>
  <c r="M10" i="8"/>
  <c r="AK10" i="8"/>
  <c r="Y10" i="8"/>
  <c r="Q14" i="11"/>
  <c r="Q15" i="15" s="1"/>
  <c r="Q16" i="11"/>
  <c r="Q17" i="15" s="1"/>
  <c r="AB11" i="11"/>
  <c r="Q13" i="11"/>
  <c r="Q14" i="15" s="1"/>
  <c r="Q15" i="11"/>
  <c r="Q16" i="15" s="1"/>
  <c r="E295" i="19"/>
  <c r="G383" i="19"/>
  <c r="S69" i="22"/>
  <c r="K9" i="11"/>
  <c r="J267" i="19"/>
  <c r="H71" i="41"/>
  <c r="H72" i="41" s="1"/>
  <c r="X27" i="41"/>
  <c r="N15" i="13"/>
  <c r="K6" i="8"/>
  <c r="O58" i="7"/>
  <c r="AO6" i="7"/>
  <c r="AB44" i="7"/>
  <c r="AC3" i="9" s="1"/>
  <c r="K8" i="8"/>
  <c r="O14" i="13"/>
  <c r="E376" i="19"/>
  <c r="E377" i="19"/>
  <c r="AC5" i="7"/>
  <c r="AC6" i="7"/>
  <c r="AC7" i="7"/>
  <c r="M22" i="7"/>
  <c r="C120" i="19"/>
  <c r="F289" i="19"/>
  <c r="P57" i="7"/>
  <c r="R16" i="9" s="1"/>
  <c r="P56" i="7"/>
  <c r="R15" i="9" s="1"/>
  <c r="P55" i="7"/>
  <c r="R14" i="9" s="1"/>
  <c r="P54" i="7"/>
  <c r="R13" i="9" s="1"/>
  <c r="P53" i="7"/>
  <c r="R12" i="9" s="1"/>
  <c r="P52" i="7"/>
  <c r="R11" i="9" s="1"/>
  <c r="P51" i="7"/>
  <c r="R10" i="9" s="1"/>
  <c r="P50" i="7"/>
  <c r="R9" i="9" s="1"/>
  <c r="P49" i="7"/>
  <c r="R8" i="9" s="1"/>
  <c r="P48" i="7"/>
  <c r="R7" i="9" s="1"/>
  <c r="P47" i="7"/>
  <c r="R6" i="9" s="1"/>
  <c r="S22" i="9" s="1"/>
  <c r="S54" i="9" s="1"/>
  <c r="P46" i="7"/>
  <c r="R5" i="9" s="1"/>
  <c r="S21" i="9" s="1"/>
  <c r="S53" i="9" s="1"/>
  <c r="P45" i="7"/>
  <c r="R4" i="9" s="1"/>
  <c r="S20" i="9" s="1"/>
  <c r="S52" i="9" s="1"/>
  <c r="P44" i="7"/>
  <c r="R3" i="9" s="1"/>
  <c r="S19" i="9" s="1"/>
  <c r="S51" i="9" s="1"/>
  <c r="P43" i="7"/>
  <c r="R2" i="9" s="1"/>
  <c r="AO7" i="7"/>
  <c r="AB45" i="7"/>
  <c r="AC4" i="9" s="1"/>
  <c r="AO5" i="7"/>
  <c r="AO43" i="7" s="1"/>
  <c r="AB43" i="7"/>
  <c r="AC2" i="9" s="1"/>
  <c r="N16" i="13"/>
  <c r="L4" i="8"/>
  <c r="P5" i="13"/>
  <c r="T16" i="13"/>
  <c r="P4" i="11"/>
  <c r="T58" i="7"/>
  <c r="O5" i="11"/>
  <c r="T14" i="13"/>
  <c r="P5" i="11"/>
  <c r="P8" i="8"/>
  <c r="Q4" i="11"/>
  <c r="U14" i="13"/>
  <c r="E383" i="19"/>
  <c r="J352" i="19"/>
  <c r="G388" i="19"/>
  <c r="H299" i="19"/>
  <c r="H387" i="19"/>
  <c r="G387" i="19"/>
  <c r="F295" i="19"/>
  <c r="R103" i="22"/>
  <c r="L12" i="8" s="1"/>
  <c r="E294" i="19"/>
  <c r="J32" i="8"/>
  <c r="J9" i="11"/>
  <c r="F382" i="19"/>
  <c r="Q6" i="13"/>
  <c r="M12" i="15" s="1"/>
  <c r="N4" i="7"/>
  <c r="O42" i="7"/>
  <c r="O371" i="43" s="1"/>
  <c r="AG31" i="43" s="1"/>
  <c r="AO8" i="7"/>
  <c r="AO10" i="7"/>
  <c r="AO12" i="7"/>
  <c r="AO14" i="7"/>
  <c r="AO16" i="7"/>
  <c r="AO18" i="7"/>
  <c r="AC19" i="7"/>
  <c r="AC57" i="7" s="1"/>
  <c r="AD16" i="9" s="1"/>
  <c r="AC18" i="7"/>
  <c r="AC56" i="7" s="1"/>
  <c r="AD15" i="9" s="1"/>
  <c r="AC17" i="7"/>
  <c r="AC55" i="7" s="1"/>
  <c r="AD14" i="9" s="1"/>
  <c r="AC16" i="7"/>
  <c r="AC54" i="7" s="1"/>
  <c r="AD13" i="9" s="1"/>
  <c r="AC15" i="7"/>
  <c r="AC53" i="7" s="1"/>
  <c r="AD12" i="9" s="1"/>
  <c r="AC14" i="7"/>
  <c r="AC52" i="7" s="1"/>
  <c r="AD11" i="9" s="1"/>
  <c r="AC13" i="7"/>
  <c r="AC51" i="7" s="1"/>
  <c r="AD10" i="9" s="1"/>
  <c r="AC11" i="7"/>
  <c r="AC49" i="7" s="1"/>
  <c r="AD8" i="9" s="1"/>
  <c r="AC9" i="7"/>
  <c r="AC47" i="7" s="1"/>
  <c r="AD6" i="9" s="1"/>
  <c r="AE22" i="9" s="1"/>
  <c r="AE54" i="9" s="1"/>
  <c r="AC12" i="7"/>
  <c r="AC50" i="7" s="1"/>
  <c r="AD9" i="9" s="1"/>
  <c r="AC10" i="7"/>
  <c r="AC48" i="7" s="1"/>
  <c r="AD7" i="9" s="1"/>
  <c r="AC8" i="7"/>
  <c r="AC46" i="7" s="1"/>
  <c r="AD5" i="9" s="1"/>
  <c r="AE21" i="9" s="1"/>
  <c r="AE53" i="9" s="1"/>
  <c r="AO9" i="7"/>
  <c r="AO11" i="7"/>
  <c r="AO13" i="7"/>
  <c r="AO15" i="7"/>
  <c r="AO17" i="7"/>
  <c r="AO19" i="7"/>
  <c r="I287" i="19"/>
  <c r="N2" i="11"/>
  <c r="Q1" i="9"/>
  <c r="P2" i="13"/>
  <c r="P3" i="13" s="1"/>
  <c r="O7" i="13"/>
  <c r="K36" i="15" s="1"/>
  <c r="O8" i="13"/>
  <c r="K4" i="15" l="1"/>
  <c r="K5" i="15" s="1"/>
  <c r="G377" i="19" s="1"/>
  <c r="J7" i="15"/>
  <c r="F379" i="19" s="1"/>
  <c r="M44" i="51"/>
  <c r="H374" i="19"/>
  <c r="M2" i="15"/>
  <c r="AM111" i="9"/>
  <c r="AM112" i="9"/>
  <c r="AM90" i="9"/>
  <c r="AM122" i="9" s="1"/>
  <c r="AM108" i="9"/>
  <c r="AM91" i="9"/>
  <c r="AM123" i="9" s="1"/>
  <c r="AM89" i="9"/>
  <c r="AM121" i="9" s="1"/>
  <c r="AM86" i="9"/>
  <c r="AM118" i="9" s="1"/>
  <c r="AM104" i="9"/>
  <c r="AM87" i="9"/>
  <c r="AM119" i="9" s="1"/>
  <c r="AM109" i="9"/>
  <c r="AM101" i="9"/>
  <c r="AN73" i="9"/>
  <c r="AN89" i="9" s="1"/>
  <c r="AN121" i="9" s="1"/>
  <c r="AN138" i="9"/>
  <c r="AN155" i="9" s="1"/>
  <c r="AN24" i="9"/>
  <c r="AN56" i="9" s="1"/>
  <c r="AN80" i="9"/>
  <c r="AN112" i="9" s="1"/>
  <c r="AN145" i="9"/>
  <c r="AN162" i="9" s="1"/>
  <c r="AN31" i="9"/>
  <c r="AN63" i="9" s="1"/>
  <c r="AN70" i="9"/>
  <c r="AN86" i="9" s="1"/>
  <c r="AN118" i="9" s="1"/>
  <c r="AN135" i="9"/>
  <c r="AN152" i="9" s="1"/>
  <c r="AN21" i="9"/>
  <c r="AN53" i="9" s="1"/>
  <c r="AN81" i="9"/>
  <c r="AN97" i="9" s="1"/>
  <c r="AN129" i="9" s="1"/>
  <c r="AN146" i="9"/>
  <c r="AN48" i="9"/>
  <c r="AN72" i="9"/>
  <c r="AN88" i="9" s="1"/>
  <c r="AN120" i="9" s="1"/>
  <c r="AN137" i="9"/>
  <c r="AN154" i="9" s="1"/>
  <c r="AN23" i="9"/>
  <c r="AN55" i="9" s="1"/>
  <c r="AN75" i="9"/>
  <c r="AN91" i="9" s="1"/>
  <c r="AN123" i="9" s="1"/>
  <c r="AN140" i="9"/>
  <c r="AN157" i="9" s="1"/>
  <c r="AN26" i="9"/>
  <c r="AN58" i="9" s="1"/>
  <c r="AN79" i="9"/>
  <c r="AN95" i="9" s="1"/>
  <c r="AN127" i="9" s="1"/>
  <c r="AN46" i="9"/>
  <c r="AN144" i="9"/>
  <c r="AN161" i="9" s="1"/>
  <c r="AN68" i="9"/>
  <c r="AN133" i="9"/>
  <c r="AN76" i="9"/>
  <c r="AN92" i="9" s="1"/>
  <c r="AN124" i="9" s="1"/>
  <c r="AN141" i="9"/>
  <c r="AN158" i="9" s="1"/>
  <c r="AN27" i="9"/>
  <c r="AN59" i="9" s="1"/>
  <c r="AN71" i="9"/>
  <c r="AN103" i="9" s="1"/>
  <c r="AN22" i="9"/>
  <c r="AN54" i="9" s="1"/>
  <c r="AN136" i="9"/>
  <c r="AN153" i="9" s="1"/>
  <c r="AN77" i="9"/>
  <c r="AN93" i="9" s="1"/>
  <c r="AN125" i="9" s="1"/>
  <c r="AN142" i="9"/>
  <c r="AN159" i="9" s="1"/>
  <c r="AN44" i="9"/>
  <c r="AN69" i="9"/>
  <c r="AN101" i="9" s="1"/>
  <c r="AN134" i="9"/>
  <c r="AN151" i="9" s="1"/>
  <c r="AN20" i="9"/>
  <c r="AN52" i="9" s="1"/>
  <c r="AN78" i="9"/>
  <c r="AN110" i="9" s="1"/>
  <c r="AN143" i="9"/>
  <c r="AN160" i="9" s="1"/>
  <c r="AN29" i="9"/>
  <c r="AN61" i="9" s="1"/>
  <c r="AN74" i="9"/>
  <c r="AN106" i="9" s="1"/>
  <c r="AN139" i="9"/>
  <c r="AN156" i="9" s="1"/>
  <c r="AN25" i="9"/>
  <c r="AN57" i="9" s="1"/>
  <c r="AO55" i="7"/>
  <c r="AO14" i="9" s="1"/>
  <c r="AO51" i="7"/>
  <c r="AO10" i="9" s="1"/>
  <c r="AO47" i="7"/>
  <c r="AO6" i="9" s="1"/>
  <c r="AO54" i="7"/>
  <c r="AO13" i="9" s="1"/>
  <c r="AO50" i="7"/>
  <c r="AO9" i="9" s="1"/>
  <c r="AO46" i="7"/>
  <c r="AO5" i="9" s="1"/>
  <c r="AO57" i="7"/>
  <c r="AO16" i="9" s="1"/>
  <c r="AO53" i="7"/>
  <c r="AO12" i="9" s="1"/>
  <c r="AO49" i="7"/>
  <c r="AO8" i="9" s="1"/>
  <c r="AO56" i="7"/>
  <c r="AO15" i="9" s="1"/>
  <c r="AO52" i="7"/>
  <c r="AO11" i="9" s="1"/>
  <c r="AO48" i="7"/>
  <c r="AO7" i="9" s="1"/>
  <c r="AO45" i="7"/>
  <c r="AO4" i="9" s="1"/>
  <c r="AO44" i="7"/>
  <c r="AO3" i="9" s="1"/>
  <c r="AN37" i="9"/>
  <c r="AN40" i="9"/>
  <c r="AN30" i="9"/>
  <c r="AN62" i="9" s="1"/>
  <c r="AN43" i="9"/>
  <c r="AN42" i="9"/>
  <c r="AN36" i="9"/>
  <c r="AN41" i="9"/>
  <c r="AN28" i="9"/>
  <c r="AN60" i="9" s="1"/>
  <c r="AN32" i="9"/>
  <c r="AN64" i="9" s="1"/>
  <c r="AN39" i="9"/>
  <c r="AN38" i="9"/>
  <c r="AN45" i="9"/>
  <c r="AN47" i="9"/>
  <c r="P33" i="9"/>
  <c r="O165" i="9"/>
  <c r="S18" i="9"/>
  <c r="S33" i="9" s="1"/>
  <c r="T18" i="9"/>
  <c r="N166" i="9"/>
  <c r="O168" i="9"/>
  <c r="O50" i="13"/>
  <c r="O51" i="13" s="1"/>
  <c r="O52" i="13" s="1"/>
  <c r="P82" i="9"/>
  <c r="L5" i="11" s="1"/>
  <c r="M370" i="43"/>
  <c r="P163" i="9"/>
  <c r="J7" i="11"/>
  <c r="P65" i="9"/>
  <c r="A51" i="43"/>
  <c r="B51" i="43" s="1"/>
  <c r="C50" i="43"/>
  <c r="D50" i="43" s="1"/>
  <c r="K37" i="15"/>
  <c r="G394" i="19" s="1"/>
  <c r="L10" i="15"/>
  <c r="O130" i="9"/>
  <c r="P147" i="9"/>
  <c r="O98" i="9"/>
  <c r="T115" i="9"/>
  <c r="T130" i="9" s="1"/>
  <c r="T98" i="9"/>
  <c r="S166" i="9"/>
  <c r="Z165" i="9"/>
  <c r="Y166" i="9"/>
  <c r="AD136" i="9"/>
  <c r="AD153" i="9" s="1"/>
  <c r="AD71" i="9"/>
  <c r="AH87" i="9" s="1"/>
  <c r="AH119" i="9" s="1"/>
  <c r="AD22" i="9"/>
  <c r="AD54" i="9" s="1"/>
  <c r="AD38" i="9"/>
  <c r="Q132" i="9"/>
  <c r="Q149" i="9" s="1"/>
  <c r="Q67" i="9"/>
  <c r="U83" i="9" s="1"/>
  <c r="Q18" i="9"/>
  <c r="Q50" i="9" s="1"/>
  <c r="Q34" i="9"/>
  <c r="Q49" i="9" s="1"/>
  <c r="AC135" i="9"/>
  <c r="AC152" i="9" s="1"/>
  <c r="AC70" i="9"/>
  <c r="AG86" i="9" s="1"/>
  <c r="AG118" i="9" s="1"/>
  <c r="AC21" i="9"/>
  <c r="AC53" i="9" s="1"/>
  <c r="AC37" i="9"/>
  <c r="R135" i="9"/>
  <c r="R152" i="9" s="1"/>
  <c r="R70" i="9"/>
  <c r="V86" i="9" s="1"/>
  <c r="V118" i="9" s="1"/>
  <c r="R21" i="9"/>
  <c r="R53" i="9" s="1"/>
  <c r="R37" i="9"/>
  <c r="AD137" i="9"/>
  <c r="AD154" i="9" s="1"/>
  <c r="AD72" i="9"/>
  <c r="AD23" i="9"/>
  <c r="AD55" i="9" s="1"/>
  <c r="AD39" i="9"/>
  <c r="R134" i="9"/>
  <c r="R151" i="9" s="1"/>
  <c r="R69" i="9"/>
  <c r="V85" i="9" s="1"/>
  <c r="V117" i="9" s="1"/>
  <c r="R20" i="9"/>
  <c r="R52" i="9" s="1"/>
  <c r="R36" i="9"/>
  <c r="R136" i="9"/>
  <c r="R153" i="9" s="1"/>
  <c r="R71" i="9"/>
  <c r="V87" i="9" s="1"/>
  <c r="V119" i="9" s="1"/>
  <c r="R22" i="9"/>
  <c r="R54" i="9" s="1"/>
  <c r="R38" i="9"/>
  <c r="Q17" i="9"/>
  <c r="M4" i="11" s="1"/>
  <c r="AA50" i="9"/>
  <c r="AA65" i="9" s="1"/>
  <c r="AA33" i="9"/>
  <c r="AA149" i="9"/>
  <c r="AA163" i="9" s="1"/>
  <c r="AA147" i="9"/>
  <c r="AC133" i="9"/>
  <c r="AC150" i="9" s="1"/>
  <c r="AC68" i="9"/>
  <c r="AC19" i="9"/>
  <c r="AC51" i="9" s="1"/>
  <c r="AC35" i="9"/>
  <c r="R133" i="9"/>
  <c r="R150" i="9" s="1"/>
  <c r="R68" i="9"/>
  <c r="V84" i="9" s="1"/>
  <c r="V116" i="9" s="1"/>
  <c r="R19" i="9"/>
  <c r="R51" i="9" s="1"/>
  <c r="R35" i="9"/>
  <c r="R137" i="9"/>
  <c r="R154" i="9" s="1"/>
  <c r="R72" i="9"/>
  <c r="R23" i="9"/>
  <c r="R55" i="9" s="1"/>
  <c r="R39" i="9"/>
  <c r="AC134" i="9"/>
  <c r="AC151" i="9" s="1"/>
  <c r="AC69" i="9"/>
  <c r="AG85" i="9" s="1"/>
  <c r="AG117" i="9" s="1"/>
  <c r="AC20" i="9"/>
  <c r="AC52" i="9" s="1"/>
  <c r="AC36" i="9"/>
  <c r="AA99" i="9"/>
  <c r="AA114" i="9" s="1"/>
  <c r="AA83" i="9"/>
  <c r="AA82" i="9"/>
  <c r="AA168" i="9" s="1"/>
  <c r="AB85" i="9"/>
  <c r="AB117" i="9" s="1"/>
  <c r="AB101" i="9"/>
  <c r="Q104" i="9"/>
  <c r="Q88" i="9"/>
  <c r="Q120" i="9" s="1"/>
  <c r="AB132" i="9"/>
  <c r="AB67" i="9"/>
  <c r="AB18" i="9"/>
  <c r="AB34" i="9"/>
  <c r="AB49" i="9" s="1"/>
  <c r="AB17" i="9"/>
  <c r="Z115" i="9"/>
  <c r="Z130" i="9" s="1"/>
  <c r="Z98" i="9"/>
  <c r="Q87" i="9"/>
  <c r="Q119" i="9" s="1"/>
  <c r="Q103" i="9"/>
  <c r="Q101" i="9"/>
  <c r="Q85" i="9"/>
  <c r="Q117" i="9" s="1"/>
  <c r="AB86" i="9"/>
  <c r="AB118" i="9" s="1"/>
  <c r="AB102" i="9"/>
  <c r="AN113" i="9"/>
  <c r="AC104" i="9"/>
  <c r="AC88" i="9"/>
  <c r="AC120" i="9" s="1"/>
  <c r="Q86" i="9"/>
  <c r="Q118" i="9" s="1"/>
  <c r="Q102" i="9"/>
  <c r="Q100" i="9"/>
  <c r="Q84" i="9"/>
  <c r="Q116" i="9" s="1"/>
  <c r="AB84" i="9"/>
  <c r="AB116" i="9" s="1"/>
  <c r="AB100" i="9"/>
  <c r="P99" i="9"/>
  <c r="P114" i="9" s="1"/>
  <c r="P83" i="9"/>
  <c r="P115" i="9" s="1"/>
  <c r="AC87" i="9"/>
  <c r="AC119" i="9" s="1"/>
  <c r="AC103" i="9"/>
  <c r="AD75" i="9"/>
  <c r="AD140" i="9"/>
  <c r="AD157" i="9" s="1"/>
  <c r="AD26" i="9"/>
  <c r="AD58" i="9" s="1"/>
  <c r="AD42" i="9"/>
  <c r="AD74" i="9"/>
  <c r="AD139" i="9"/>
  <c r="AD156" i="9" s="1"/>
  <c r="AD25" i="9"/>
  <c r="AD57" i="9" s="1"/>
  <c r="AD41" i="9"/>
  <c r="AD142" i="9"/>
  <c r="AD159" i="9" s="1"/>
  <c r="AD77" i="9"/>
  <c r="AD44" i="9"/>
  <c r="AD28" i="9"/>
  <c r="AD60" i="9" s="1"/>
  <c r="AD144" i="9"/>
  <c r="AD161" i="9" s="1"/>
  <c r="AD79" i="9"/>
  <c r="AD46" i="9"/>
  <c r="AD30" i="9"/>
  <c r="AD62" i="9" s="1"/>
  <c r="AD146" i="9"/>
  <c r="AD81" i="9"/>
  <c r="AD32" i="9"/>
  <c r="AD64" i="9" s="1"/>
  <c r="AD48" i="9"/>
  <c r="R139" i="9"/>
  <c r="R156" i="9" s="1"/>
  <c r="R74" i="9"/>
  <c r="R25" i="9"/>
  <c r="R57" i="9" s="1"/>
  <c r="R41" i="9"/>
  <c r="K4" i="18"/>
  <c r="K11" i="18" s="1"/>
  <c r="R143" i="9"/>
  <c r="R160" i="9" s="1"/>
  <c r="R78" i="9"/>
  <c r="R45" i="9"/>
  <c r="R29" i="9"/>
  <c r="R61" i="9" s="1"/>
  <c r="R145" i="9"/>
  <c r="R162" i="9" s="1"/>
  <c r="R80" i="9"/>
  <c r="R47" i="9"/>
  <c r="R31" i="9"/>
  <c r="R63" i="9" s="1"/>
  <c r="Q106" i="9"/>
  <c r="Q90" i="9"/>
  <c r="Q122" i="9" s="1"/>
  <c r="AC56" i="9"/>
  <c r="AC155" i="9"/>
  <c r="AB121" i="9"/>
  <c r="Q155" i="9"/>
  <c r="AC112" i="9"/>
  <c r="AC96" i="9"/>
  <c r="AC128" i="9" s="1"/>
  <c r="AC110" i="9"/>
  <c r="AC94" i="9"/>
  <c r="AC126" i="9" s="1"/>
  <c r="AC92" i="9"/>
  <c r="AC124" i="9" s="1"/>
  <c r="AC108" i="9"/>
  <c r="AC106" i="9"/>
  <c r="AC90" i="9"/>
  <c r="AC122" i="9" s="1"/>
  <c r="AD138" i="9"/>
  <c r="AD73" i="9"/>
  <c r="AD24" i="9"/>
  <c r="AD40" i="9"/>
  <c r="AD141" i="9"/>
  <c r="AD158" i="9" s="1"/>
  <c r="AD76" i="9"/>
  <c r="AD27" i="9"/>
  <c r="AD59" i="9" s="1"/>
  <c r="AD43" i="9"/>
  <c r="AD143" i="9"/>
  <c r="AD160" i="9" s="1"/>
  <c r="AD78" i="9"/>
  <c r="AD29" i="9"/>
  <c r="AD61" i="9" s="1"/>
  <c r="AD45" i="9"/>
  <c r="AD145" i="9"/>
  <c r="AD162" i="9" s="1"/>
  <c r="AD80" i="9"/>
  <c r="AD31" i="9"/>
  <c r="AD63" i="9" s="1"/>
  <c r="AD47" i="9"/>
  <c r="R138" i="9"/>
  <c r="R73" i="9"/>
  <c r="R24" i="9"/>
  <c r="R40" i="9"/>
  <c r="R140" i="9"/>
  <c r="R157" i="9" s="1"/>
  <c r="R75" i="9"/>
  <c r="K5" i="18" s="1"/>
  <c r="R26" i="9"/>
  <c r="R58" i="9" s="1"/>
  <c r="R42" i="9"/>
  <c r="R142" i="9"/>
  <c r="R159" i="9" s="1"/>
  <c r="R77" i="9"/>
  <c r="R44" i="9"/>
  <c r="R28" i="9"/>
  <c r="R60" i="9" s="1"/>
  <c r="R144" i="9"/>
  <c r="R161" i="9" s="1"/>
  <c r="R79" i="9"/>
  <c r="R46" i="9"/>
  <c r="R30" i="9"/>
  <c r="R62" i="9" s="1"/>
  <c r="R146" i="9"/>
  <c r="R81" i="9"/>
  <c r="R32" i="9"/>
  <c r="R64" i="9" s="1"/>
  <c r="R48" i="9"/>
  <c r="P121" i="9"/>
  <c r="Q112" i="9"/>
  <c r="Q96" i="9"/>
  <c r="Q128" i="9" s="1"/>
  <c r="Q110" i="9"/>
  <c r="Q94" i="9"/>
  <c r="Q126" i="9" s="1"/>
  <c r="Q92" i="9"/>
  <c r="Q124" i="9" s="1"/>
  <c r="Q108" i="9"/>
  <c r="AC113" i="9"/>
  <c r="AC97" i="9"/>
  <c r="AC129" i="9" s="1"/>
  <c r="AC111" i="9"/>
  <c r="AC95" i="9"/>
  <c r="AC127" i="9" s="1"/>
  <c r="AC109" i="9"/>
  <c r="AC93" i="9"/>
  <c r="AC125" i="9" s="1"/>
  <c r="AC107" i="9"/>
  <c r="AC91" i="9"/>
  <c r="AC123" i="9" s="1"/>
  <c r="AC105" i="9"/>
  <c r="AC89" i="9"/>
  <c r="Q113" i="9"/>
  <c r="Q97" i="9"/>
  <c r="Q129" i="9" s="1"/>
  <c r="Q111" i="9"/>
  <c r="Q95" i="9"/>
  <c r="Q127" i="9" s="1"/>
  <c r="Q109" i="9"/>
  <c r="Q93" i="9"/>
  <c r="Q125" i="9" s="1"/>
  <c r="Q107" i="9"/>
  <c r="Q91" i="9"/>
  <c r="Q123" i="9" s="1"/>
  <c r="Q56" i="9"/>
  <c r="Q105" i="9"/>
  <c r="Q89" i="9"/>
  <c r="O7" i="11"/>
  <c r="O71" i="41" s="1"/>
  <c r="O72" i="41" s="1"/>
  <c r="P70" i="13"/>
  <c r="P72" i="13" s="1"/>
  <c r="P39" i="13"/>
  <c r="M11" i="8"/>
  <c r="O31" i="8"/>
  <c r="M29" i="11"/>
  <c r="M30" i="15" s="1"/>
  <c r="O29" i="8"/>
  <c r="M27" i="11"/>
  <c r="M28" i="15" s="1"/>
  <c r="O30" i="8"/>
  <c r="M28" i="11"/>
  <c r="M29" i="15" s="1"/>
  <c r="Q40" i="13"/>
  <c r="K6" i="11"/>
  <c r="K7" i="11" s="1"/>
  <c r="J8" i="15"/>
  <c r="F380" i="19" s="1"/>
  <c r="F291" i="19"/>
  <c r="F376" i="19"/>
  <c r="Q4" i="8"/>
  <c r="Q42" i="8"/>
  <c r="P31" i="11" s="1"/>
  <c r="R42" i="8"/>
  <c r="Q31" i="11" s="1"/>
  <c r="M42" i="8"/>
  <c r="L31" i="11" s="1"/>
  <c r="H388" i="19"/>
  <c r="H300" i="19"/>
  <c r="F385" i="19"/>
  <c r="F297" i="19"/>
  <c r="G296" i="19"/>
  <c r="F386" i="19"/>
  <c r="F298" i="19"/>
  <c r="F384" i="19"/>
  <c r="N17" i="13"/>
  <c r="N19" i="13" s="1"/>
  <c r="R15" i="11"/>
  <c r="R16" i="15" s="1"/>
  <c r="R13" i="11"/>
  <c r="R14" i="15" s="1"/>
  <c r="AC11" i="11"/>
  <c r="R16" i="11"/>
  <c r="R17" i="15" s="1"/>
  <c r="R14" i="11"/>
  <c r="R15" i="15" s="1"/>
  <c r="Z10" i="8"/>
  <c r="AL10" i="8"/>
  <c r="N10" i="8"/>
  <c r="P26" i="8"/>
  <c r="O24" i="11" s="1"/>
  <c r="O25" i="15" s="1"/>
  <c r="N20" i="11"/>
  <c r="N21" i="15" s="1"/>
  <c r="P28" i="8"/>
  <c r="O26" i="11" s="1"/>
  <c r="O27" i="15" s="1"/>
  <c r="O24" i="8"/>
  <c r="N22" i="11" s="1"/>
  <c r="N23" i="15" s="1"/>
  <c r="N18" i="11"/>
  <c r="N19" i="15" s="1"/>
  <c r="O27" i="8"/>
  <c r="N25" i="11" s="1"/>
  <c r="N26" i="15" s="1"/>
  <c r="O25" i="8"/>
  <c r="N23" i="11" s="1"/>
  <c r="N24" i="15" s="1"/>
  <c r="N21" i="11"/>
  <c r="N22" i="15" s="1"/>
  <c r="N19" i="11"/>
  <c r="N20" i="15" s="1"/>
  <c r="N17" i="11"/>
  <c r="N18" i="15" s="1"/>
  <c r="E292" i="19"/>
  <c r="I71" i="41"/>
  <c r="I72" i="41" s="1"/>
  <c r="O15" i="13"/>
  <c r="G382" i="19"/>
  <c r="T69" i="22"/>
  <c r="N22" i="7"/>
  <c r="L6" i="8"/>
  <c r="G290" i="19"/>
  <c r="C121" i="19"/>
  <c r="G289" i="19"/>
  <c r="O16" i="13"/>
  <c r="Q44" i="7"/>
  <c r="Q46" i="7"/>
  <c r="Q48" i="7"/>
  <c r="Q50" i="7"/>
  <c r="Q52" i="7"/>
  <c r="Q54" i="7"/>
  <c r="Q56" i="7"/>
  <c r="AP6" i="7"/>
  <c r="AC44" i="7"/>
  <c r="AD3" i="9" s="1"/>
  <c r="Q51" i="7"/>
  <c r="Q57" i="7"/>
  <c r="Q55" i="7"/>
  <c r="Q53" i="7"/>
  <c r="Q49" i="7"/>
  <c r="K12" i="18"/>
  <c r="L8" i="8"/>
  <c r="G294" i="19" s="1"/>
  <c r="P58" i="7"/>
  <c r="Q45" i="7"/>
  <c r="Q47" i="7"/>
  <c r="I4" i="18"/>
  <c r="M4" i="18"/>
  <c r="AP7" i="7"/>
  <c r="AC45" i="7"/>
  <c r="AD4" i="9" s="1"/>
  <c r="AE20" i="9" s="1"/>
  <c r="AE52" i="9" s="1"/>
  <c r="AC43" i="7"/>
  <c r="AD2" i="9" s="1"/>
  <c r="AP5" i="7"/>
  <c r="AP43" i="7" s="1"/>
  <c r="M4" i="8"/>
  <c r="P14" i="13"/>
  <c r="Q43" i="7"/>
  <c r="Q4" i="18"/>
  <c r="O4" i="18"/>
  <c r="K10" i="11"/>
  <c r="L11" i="15" s="1"/>
  <c r="Q5" i="13"/>
  <c r="O7" i="15"/>
  <c r="E113" i="19"/>
  <c r="P6" i="8"/>
  <c r="T15" i="13"/>
  <c r="U58" i="7"/>
  <c r="R4" i="11"/>
  <c r="V14" i="13"/>
  <c r="R4" i="8"/>
  <c r="U16" i="13"/>
  <c r="U15" i="13"/>
  <c r="Q5" i="11"/>
  <c r="Q6" i="8"/>
  <c r="I299" i="19"/>
  <c r="I387" i="19"/>
  <c r="F294" i="19"/>
  <c r="K32" i="8"/>
  <c r="S103" i="22"/>
  <c r="M12" i="8" s="1"/>
  <c r="R6" i="13"/>
  <c r="N12" i="15" s="1"/>
  <c r="P42" i="7"/>
  <c r="O4" i="7"/>
  <c r="AP10" i="7"/>
  <c r="AP9" i="7"/>
  <c r="AP13" i="7"/>
  <c r="AP15" i="7"/>
  <c r="AP17" i="7"/>
  <c r="AP19" i="7"/>
  <c r="AP8" i="7"/>
  <c r="AP12" i="7"/>
  <c r="AP11" i="7"/>
  <c r="AP14" i="7"/>
  <c r="AP16" i="7"/>
  <c r="AP18" i="7"/>
  <c r="P7" i="13"/>
  <c r="L36" i="15" s="1"/>
  <c r="P8" i="13"/>
  <c r="O2" i="11"/>
  <c r="P2" i="11" s="1"/>
  <c r="Q2" i="11" s="1"/>
  <c r="R2" i="11" s="1"/>
  <c r="S2" i="11" s="1"/>
  <c r="T2" i="11" s="1"/>
  <c r="U2" i="11" s="1"/>
  <c r="V2" i="11" s="1"/>
  <c r="W2" i="11" s="1"/>
  <c r="X2" i="11" s="1"/>
  <c r="Y2" i="11" s="1"/>
  <c r="Z2" i="11" s="1"/>
  <c r="AA2" i="11" s="1"/>
  <c r="AB2" i="11" s="1"/>
  <c r="AC2" i="11" s="1"/>
  <c r="AD2" i="11" s="1"/>
  <c r="AE2" i="11" s="1"/>
  <c r="AF2" i="11" s="1"/>
  <c r="AG2" i="11" s="1"/>
  <c r="AH2" i="11" s="1"/>
  <c r="AI2" i="11" s="1"/>
  <c r="AJ2" i="11" s="1"/>
  <c r="AK2" i="11" s="1"/>
  <c r="AL2" i="11" s="1"/>
  <c r="J287" i="19"/>
  <c r="Q2" i="13"/>
  <c r="Q3" i="13" s="1"/>
  <c r="R1" i="9"/>
  <c r="O71" i="13" l="1"/>
  <c r="AN102" i="9"/>
  <c r="K7" i="15"/>
  <c r="G379" i="19" s="1"/>
  <c r="AN107" i="9"/>
  <c r="L4" i="15"/>
  <c r="L5" i="15" s="1"/>
  <c r="N44" i="51"/>
  <c r="I374" i="19"/>
  <c r="N2" i="15"/>
  <c r="P371" i="43"/>
  <c r="AH31" i="43" s="1"/>
  <c r="R42" i="7"/>
  <c r="S50" i="9"/>
  <c r="S65" i="9" s="1"/>
  <c r="S165" i="9" s="1"/>
  <c r="P165" i="9"/>
  <c r="AN94" i="9"/>
  <c r="AN126" i="9" s="1"/>
  <c r="AN104" i="9"/>
  <c r="AN85" i="9"/>
  <c r="AN117" i="9" s="1"/>
  <c r="AN111" i="9"/>
  <c r="P168" i="9"/>
  <c r="AN96" i="9"/>
  <c r="AN128" i="9" s="1"/>
  <c r="AN109" i="9"/>
  <c r="AN108" i="9"/>
  <c r="AN87" i="9"/>
  <c r="AN119" i="9" s="1"/>
  <c r="AN90" i="9"/>
  <c r="AN122" i="9" s="1"/>
  <c r="AN105" i="9"/>
  <c r="AO69" i="9"/>
  <c r="AO101" i="9" s="1"/>
  <c r="AO134" i="9"/>
  <c r="AO151" i="9" s="1"/>
  <c r="AO36" i="9"/>
  <c r="AO76" i="9"/>
  <c r="AO92" i="9" s="1"/>
  <c r="AO124" i="9" s="1"/>
  <c r="AO141" i="9"/>
  <c r="AO158" i="9" s="1"/>
  <c r="AO43" i="9"/>
  <c r="AO73" i="9"/>
  <c r="AO89" i="9" s="1"/>
  <c r="AO121" i="9" s="1"/>
  <c r="AO138" i="9"/>
  <c r="AO155" i="9" s="1"/>
  <c r="AO24" i="9"/>
  <c r="AO56" i="9" s="1"/>
  <c r="AO81" i="9"/>
  <c r="AO97" i="9" s="1"/>
  <c r="AO129" i="9" s="1"/>
  <c r="AO146" i="9"/>
  <c r="AO48" i="9"/>
  <c r="AO74" i="9"/>
  <c r="AO90" i="9" s="1"/>
  <c r="AO122" i="9" s="1"/>
  <c r="AO139" i="9"/>
  <c r="AO156" i="9" s="1"/>
  <c r="AO25" i="9"/>
  <c r="AO57" i="9" s="1"/>
  <c r="AO71" i="9"/>
  <c r="AO103" i="9" s="1"/>
  <c r="AO136" i="9"/>
  <c r="AO153" i="9" s="1"/>
  <c r="AO38" i="9"/>
  <c r="AO79" i="9"/>
  <c r="AO111" i="9" s="1"/>
  <c r="AO144" i="9"/>
  <c r="AO161" i="9" s="1"/>
  <c r="AO46" i="9"/>
  <c r="AO68" i="9"/>
  <c r="AO133" i="9"/>
  <c r="AO72" i="9"/>
  <c r="AO104" i="9" s="1"/>
  <c r="AO137" i="9"/>
  <c r="AO154" i="9" s="1"/>
  <c r="AO39" i="9"/>
  <c r="AO80" i="9"/>
  <c r="AO96" i="9" s="1"/>
  <c r="AO128" i="9" s="1"/>
  <c r="AO145" i="9"/>
  <c r="AO162" i="9" s="1"/>
  <c r="AO47" i="9"/>
  <c r="AO77" i="9"/>
  <c r="AO109" i="9" s="1"/>
  <c r="AO142" i="9"/>
  <c r="AO159" i="9" s="1"/>
  <c r="AO28" i="9"/>
  <c r="AO60" i="9" s="1"/>
  <c r="AO70" i="9"/>
  <c r="AO86" i="9" s="1"/>
  <c r="AO118" i="9" s="1"/>
  <c r="AO135" i="9"/>
  <c r="AO152" i="9" s="1"/>
  <c r="AO37" i="9"/>
  <c r="AO78" i="9"/>
  <c r="AO94" i="9" s="1"/>
  <c r="AO126" i="9" s="1"/>
  <c r="AO143" i="9"/>
  <c r="AO160" i="9" s="1"/>
  <c r="AO45" i="9"/>
  <c r="AO75" i="9"/>
  <c r="AO91" i="9" s="1"/>
  <c r="AO123" i="9" s="1"/>
  <c r="AO140" i="9"/>
  <c r="AO157" i="9" s="1"/>
  <c r="AO42" i="9"/>
  <c r="AP54" i="7"/>
  <c r="AP13" i="9" s="1"/>
  <c r="AP49" i="7"/>
  <c r="AP8" i="9" s="1"/>
  <c r="AP46" i="7"/>
  <c r="AP5" i="9" s="1"/>
  <c r="AP55" i="7"/>
  <c r="AP14" i="9" s="1"/>
  <c r="AP51" i="7"/>
  <c r="AP10" i="9" s="1"/>
  <c r="AP48" i="7"/>
  <c r="AP7" i="9" s="1"/>
  <c r="AP56" i="7"/>
  <c r="AP15" i="9" s="1"/>
  <c r="AP52" i="7"/>
  <c r="AP11" i="9" s="1"/>
  <c r="AP50" i="7"/>
  <c r="AP9" i="9" s="1"/>
  <c r="AP57" i="7"/>
  <c r="AP16" i="9" s="1"/>
  <c r="AP53" i="7"/>
  <c r="AP12" i="9" s="1"/>
  <c r="AP47" i="7"/>
  <c r="AP6" i="9" s="1"/>
  <c r="AP45" i="7"/>
  <c r="AP4" i="9" s="1"/>
  <c r="AP44" i="7"/>
  <c r="AP3" i="9" s="1"/>
  <c r="AO40" i="9"/>
  <c r="AO44" i="9"/>
  <c r="AO41" i="9"/>
  <c r="AO20" i="9"/>
  <c r="AO52" i="9" s="1"/>
  <c r="AO21" i="9"/>
  <c r="AO53" i="9" s="1"/>
  <c r="AO22" i="9"/>
  <c r="AO54" i="9" s="1"/>
  <c r="AO26" i="9"/>
  <c r="AO58" i="9" s="1"/>
  <c r="AO30" i="9"/>
  <c r="AO62" i="9" s="1"/>
  <c r="AO23" i="9"/>
  <c r="AO55" i="9" s="1"/>
  <c r="AO27" i="9"/>
  <c r="AO59" i="9" s="1"/>
  <c r="AO31" i="9"/>
  <c r="AO63" i="9" s="1"/>
  <c r="AO32" i="9"/>
  <c r="AO64" i="9" s="1"/>
  <c r="AO29" i="9"/>
  <c r="AO61" i="9" s="1"/>
  <c r="O166" i="9"/>
  <c r="T50" i="9"/>
  <c r="T65" i="9" s="1"/>
  <c r="T33" i="9"/>
  <c r="P50" i="13"/>
  <c r="P51" i="13" s="1"/>
  <c r="P52" i="13" s="1"/>
  <c r="Q65" i="9"/>
  <c r="Q147" i="9"/>
  <c r="N370" i="43"/>
  <c r="Q33" i="9"/>
  <c r="Q82" i="9"/>
  <c r="Q168" i="9" s="1"/>
  <c r="A52" i="43"/>
  <c r="B52" i="43" s="1"/>
  <c r="C51" i="43"/>
  <c r="D51" i="43" s="1"/>
  <c r="P130" i="9"/>
  <c r="Q163" i="9"/>
  <c r="L37" i="15"/>
  <c r="H394" i="19" s="1"/>
  <c r="M10" i="15"/>
  <c r="K13" i="18"/>
  <c r="K8" i="18"/>
  <c r="T166" i="9"/>
  <c r="U115" i="9"/>
  <c r="U130" i="9" s="1"/>
  <c r="U98" i="9"/>
  <c r="AA165" i="9"/>
  <c r="K9" i="18"/>
  <c r="K10" i="18"/>
  <c r="Z166" i="9"/>
  <c r="AD133" i="9"/>
  <c r="AD150" i="9" s="1"/>
  <c r="AD68" i="9"/>
  <c r="AD19" i="9"/>
  <c r="AD51" i="9" s="1"/>
  <c r="AD35" i="9"/>
  <c r="P4" i="7"/>
  <c r="P22" i="7" s="1"/>
  <c r="AD45" i="7"/>
  <c r="AD44" i="7"/>
  <c r="P98" i="9"/>
  <c r="AB50" i="9"/>
  <c r="AB65" i="9" s="1"/>
  <c r="AB33" i="9"/>
  <c r="AB149" i="9"/>
  <c r="AB163" i="9" s="1"/>
  <c r="AB147" i="9"/>
  <c r="AC101" i="9"/>
  <c r="AC85" i="9"/>
  <c r="AC117" i="9" s="1"/>
  <c r="R88" i="9"/>
  <c r="R120" i="9" s="1"/>
  <c r="R104" i="9"/>
  <c r="R84" i="9"/>
  <c r="R116" i="9" s="1"/>
  <c r="R100" i="9"/>
  <c r="AC100" i="9"/>
  <c r="AC84" i="9"/>
  <c r="AC116" i="9" s="1"/>
  <c r="AC132" i="9"/>
  <c r="AC67" i="9"/>
  <c r="AC18" i="9"/>
  <c r="AC34" i="9"/>
  <c r="AC49" i="9" s="1"/>
  <c r="AC17" i="9"/>
  <c r="R87" i="9"/>
  <c r="R119" i="9" s="1"/>
  <c r="R103" i="9"/>
  <c r="R85" i="9"/>
  <c r="R117" i="9" s="1"/>
  <c r="R101" i="9"/>
  <c r="AD88" i="9"/>
  <c r="AD120" i="9" s="1"/>
  <c r="AD104" i="9"/>
  <c r="R86" i="9"/>
  <c r="R118" i="9" s="1"/>
  <c r="R102" i="9"/>
  <c r="AC86" i="9"/>
  <c r="AC118" i="9" s="1"/>
  <c r="AC102" i="9"/>
  <c r="Q99" i="9"/>
  <c r="Q114" i="9" s="1"/>
  <c r="Q83" i="9"/>
  <c r="Q115" i="9" s="1"/>
  <c r="AD87" i="9"/>
  <c r="AD119" i="9" s="1"/>
  <c r="AD103" i="9"/>
  <c r="AD17" i="9"/>
  <c r="AB99" i="9"/>
  <c r="AB114" i="9" s="1"/>
  <c r="AB83" i="9"/>
  <c r="AB82" i="9"/>
  <c r="AB168" i="9" s="1"/>
  <c r="AA115" i="9"/>
  <c r="AA130" i="9" s="1"/>
  <c r="AA98" i="9"/>
  <c r="AD132" i="9"/>
  <c r="AD149" i="9" s="1"/>
  <c r="AD67" i="9"/>
  <c r="AD18" i="9"/>
  <c r="AD50" i="9" s="1"/>
  <c r="AD34" i="9"/>
  <c r="AC121" i="9"/>
  <c r="R56" i="9"/>
  <c r="R89" i="9"/>
  <c r="R105" i="9"/>
  <c r="AD96" i="9"/>
  <c r="AD128" i="9" s="1"/>
  <c r="AD112" i="9"/>
  <c r="AD94" i="9"/>
  <c r="AD126" i="9" s="1"/>
  <c r="AD110" i="9"/>
  <c r="AD92" i="9"/>
  <c r="AD124" i="9" s="1"/>
  <c r="AD108" i="9"/>
  <c r="AD155" i="9"/>
  <c r="R96" i="9"/>
  <c r="R128" i="9" s="1"/>
  <c r="R112" i="9"/>
  <c r="R94" i="9"/>
  <c r="R126" i="9" s="1"/>
  <c r="R110" i="9"/>
  <c r="R141" i="9"/>
  <c r="R158" i="9" s="1"/>
  <c r="R76" i="9"/>
  <c r="R43" i="9"/>
  <c r="R27" i="9"/>
  <c r="R59" i="9" s="1"/>
  <c r="R90" i="9"/>
  <c r="R122" i="9" s="1"/>
  <c r="R106" i="9"/>
  <c r="AD97" i="9"/>
  <c r="AD129" i="9" s="1"/>
  <c r="AD113" i="9"/>
  <c r="AD95" i="9"/>
  <c r="AD127" i="9" s="1"/>
  <c r="AD111" i="9"/>
  <c r="AD93" i="9"/>
  <c r="AD125" i="9" s="1"/>
  <c r="AD109" i="9"/>
  <c r="Q121" i="9"/>
  <c r="R97" i="9"/>
  <c r="R129" i="9" s="1"/>
  <c r="R113" i="9"/>
  <c r="R95" i="9"/>
  <c r="R127" i="9" s="1"/>
  <c r="R111" i="9"/>
  <c r="R93" i="9"/>
  <c r="R125" i="9" s="1"/>
  <c r="R109" i="9"/>
  <c r="R91" i="9"/>
  <c r="R123" i="9" s="1"/>
  <c r="R107" i="9"/>
  <c r="R155" i="9"/>
  <c r="AD56" i="9"/>
  <c r="AD89" i="9"/>
  <c r="AD105" i="9"/>
  <c r="AD90" i="9"/>
  <c r="AD122" i="9" s="1"/>
  <c r="AD106" i="9"/>
  <c r="AD91" i="9"/>
  <c r="AD123" i="9" s="1"/>
  <c r="AD107" i="9"/>
  <c r="G376" i="19"/>
  <c r="I300" i="19"/>
  <c r="R5" i="13"/>
  <c r="R10" i="13" s="1"/>
  <c r="I388" i="19"/>
  <c r="Q39" i="13"/>
  <c r="Q70" i="13"/>
  <c r="Q72" i="13" s="1"/>
  <c r="N11" i="8"/>
  <c r="P30" i="8"/>
  <c r="N28" i="11"/>
  <c r="N29" i="15" s="1"/>
  <c r="P29" i="8"/>
  <c r="N27" i="11"/>
  <c r="N28" i="15" s="1"/>
  <c r="P31" i="8"/>
  <c r="N29" i="11"/>
  <c r="R40" i="13"/>
  <c r="Q6" i="11"/>
  <c r="Q7" i="11" s="1"/>
  <c r="Q8" i="15"/>
  <c r="Q4" i="15"/>
  <c r="Q5" i="15" s="1"/>
  <c r="P6" i="11"/>
  <c r="P7" i="11" s="1"/>
  <c r="P71" i="41" s="1"/>
  <c r="P72" i="41" s="1"/>
  <c r="P8" i="15"/>
  <c r="K8" i="15"/>
  <c r="L6" i="11"/>
  <c r="L7" i="11" s="1"/>
  <c r="S42" i="8"/>
  <c r="R31" i="11" s="1"/>
  <c r="N42" i="8"/>
  <c r="M31" i="11" s="1"/>
  <c r="I302" i="19" s="1"/>
  <c r="G386" i="19"/>
  <c r="G298" i="19"/>
  <c r="O10" i="8"/>
  <c r="C12" i="12"/>
  <c r="E64" i="56" s="1"/>
  <c r="AM10" i="8"/>
  <c r="AA10" i="8"/>
  <c r="S14" i="11"/>
  <c r="S15" i="15" s="1"/>
  <c r="S16" i="11"/>
  <c r="S17" i="15" s="1"/>
  <c r="AD11" i="11"/>
  <c r="S13" i="11"/>
  <c r="S14" i="15" s="1"/>
  <c r="S15" i="11"/>
  <c r="S16" i="15" s="1"/>
  <c r="G384" i="19"/>
  <c r="O17" i="13"/>
  <c r="O19" i="13" s="1"/>
  <c r="O17" i="11"/>
  <c r="O18" i="15" s="1"/>
  <c r="O19" i="11"/>
  <c r="O20" i="15" s="1"/>
  <c r="O21" i="11"/>
  <c r="O22" i="15" s="1"/>
  <c r="P25" i="8"/>
  <c r="O23" i="11" s="1"/>
  <c r="O24" i="15" s="1"/>
  <c r="P27" i="8"/>
  <c r="O25" i="11" s="1"/>
  <c r="O26" i="15" s="1"/>
  <c r="O18" i="11"/>
  <c r="O19" i="15" s="1"/>
  <c r="P24" i="8"/>
  <c r="O22" i="11" s="1"/>
  <c r="O23" i="15" s="1"/>
  <c r="Q28" i="8"/>
  <c r="P26" i="11" s="1"/>
  <c r="P27" i="15" s="1"/>
  <c r="O20" i="11"/>
  <c r="O21" i="15" s="1"/>
  <c r="Q26" i="8"/>
  <c r="P24" i="11" s="1"/>
  <c r="P25" i="15" s="1"/>
  <c r="H296" i="19"/>
  <c r="G385" i="19"/>
  <c r="G297" i="19"/>
  <c r="G295" i="19"/>
  <c r="I383" i="19"/>
  <c r="Y27" i="41"/>
  <c r="L10" i="11"/>
  <c r="M11" i="15" s="1"/>
  <c r="L32" i="8"/>
  <c r="F292" i="19"/>
  <c r="J71" i="41"/>
  <c r="J72" i="41" s="1"/>
  <c r="Q14" i="13"/>
  <c r="N4" i="8"/>
  <c r="I5" i="18"/>
  <c r="O11" i="18"/>
  <c r="O13" i="18"/>
  <c r="O8" i="18"/>
  <c r="O12" i="18"/>
  <c r="O9" i="18"/>
  <c r="O10" i="18"/>
  <c r="O6" i="18"/>
  <c r="Q5" i="18"/>
  <c r="Q58" i="7"/>
  <c r="F1" i="7" s="1"/>
  <c r="M12" i="18"/>
  <c r="M9" i="18"/>
  <c r="M8" i="18"/>
  <c r="M11" i="18"/>
  <c r="M13" i="18"/>
  <c r="M10" i="18"/>
  <c r="M6" i="8"/>
  <c r="M8" i="8"/>
  <c r="P4" i="18"/>
  <c r="N4" i="18"/>
  <c r="L4" i="18"/>
  <c r="J4" i="18"/>
  <c r="H4" i="18"/>
  <c r="F4" i="18"/>
  <c r="D4" i="18"/>
  <c r="K6" i="18"/>
  <c r="K15" i="18" s="1"/>
  <c r="K16" i="18" s="1"/>
  <c r="O22" i="7"/>
  <c r="I6" i="18"/>
  <c r="M6" i="18"/>
  <c r="M5" i="18"/>
  <c r="Q13" i="18"/>
  <c r="Q8" i="18"/>
  <c r="Q9" i="18"/>
  <c r="Q12" i="18"/>
  <c r="Q11" i="18"/>
  <c r="Q10" i="18"/>
  <c r="C122" i="19"/>
  <c r="H289" i="19"/>
  <c r="H302" i="19"/>
  <c r="Q6" i="18"/>
  <c r="O5" i="18"/>
  <c r="I13" i="18"/>
  <c r="I12" i="18"/>
  <c r="I11" i="18"/>
  <c r="I10" i="18"/>
  <c r="I9" i="18"/>
  <c r="I8" i="18"/>
  <c r="G4" i="18"/>
  <c r="E4" i="18"/>
  <c r="G291" i="19"/>
  <c r="P15" i="13"/>
  <c r="P16" i="13"/>
  <c r="C4" i="18"/>
  <c r="E191" i="19"/>
  <c r="E114" i="19"/>
  <c r="P7" i="15"/>
  <c r="Q8" i="8"/>
  <c r="V58" i="7"/>
  <c r="W58" i="7"/>
  <c r="S4" i="8"/>
  <c r="R5" i="11"/>
  <c r="V15" i="13"/>
  <c r="W14" i="13"/>
  <c r="S4" i="11"/>
  <c r="R8" i="8"/>
  <c r="V16" i="13"/>
  <c r="R6" i="8"/>
  <c r="E115" i="19"/>
  <c r="AD50" i="7"/>
  <c r="AD46" i="7"/>
  <c r="J299" i="19"/>
  <c r="C15" i="12"/>
  <c r="E67" i="56" s="1"/>
  <c r="R22" i="18"/>
  <c r="U69" i="22"/>
  <c r="T103" i="22"/>
  <c r="N12" i="8" s="1"/>
  <c r="L9" i="11"/>
  <c r="H382" i="19"/>
  <c r="S6" i="13"/>
  <c r="O12" i="15" s="1"/>
  <c r="J296" i="19"/>
  <c r="R19" i="18"/>
  <c r="AD56" i="7"/>
  <c r="AD54" i="7"/>
  <c r="AD52" i="7"/>
  <c r="AD49" i="7"/>
  <c r="AQ48" i="7"/>
  <c r="AD57" i="7"/>
  <c r="AD55" i="7"/>
  <c r="AD53" i="7"/>
  <c r="AD51" i="7"/>
  <c r="AD47" i="7"/>
  <c r="AD48" i="7"/>
  <c r="AQ49" i="7"/>
  <c r="AQ55" i="7"/>
  <c r="R2" i="13"/>
  <c r="R3" i="13" s="1"/>
  <c r="S1" i="9"/>
  <c r="Q7" i="13"/>
  <c r="M36" i="15" s="1"/>
  <c r="Q8" i="13"/>
  <c r="L7" i="15" l="1"/>
  <c r="P71" i="13"/>
  <c r="H6" i="51"/>
  <c r="M4" i="15"/>
  <c r="M5" i="15" s="1"/>
  <c r="O44" i="51"/>
  <c r="J374" i="19"/>
  <c r="O2" i="15"/>
  <c r="P2" i="15" s="1"/>
  <c r="Q2" i="15" s="1"/>
  <c r="R2" i="15" s="1"/>
  <c r="S2" i="15" s="1"/>
  <c r="T2" i="15" s="1"/>
  <c r="U2" i="15" s="1"/>
  <c r="V2" i="15" s="1"/>
  <c r="W2" i="15" s="1"/>
  <c r="X2" i="15" s="1"/>
  <c r="Y2" i="15" s="1"/>
  <c r="Z2" i="15" s="1"/>
  <c r="AA2" i="15" s="1"/>
  <c r="AB2" i="15" s="1"/>
  <c r="AC2" i="15" s="1"/>
  <c r="AD2" i="15" s="1"/>
  <c r="AE2" i="15" s="1"/>
  <c r="AF2" i="15" s="1"/>
  <c r="AG2" i="15" s="1"/>
  <c r="AH2" i="15" s="1"/>
  <c r="AI2" i="15" s="1"/>
  <c r="AJ2" i="15" s="1"/>
  <c r="AK2" i="15" s="1"/>
  <c r="AL2" i="15" s="1"/>
  <c r="S42" i="7"/>
  <c r="R4" i="7"/>
  <c r="R22" i="7" s="1"/>
  <c r="AO107" i="9"/>
  <c r="AQ44" i="7"/>
  <c r="AO112" i="9"/>
  <c r="AO85" i="9"/>
  <c r="AO117" i="9" s="1"/>
  <c r="AO106" i="9"/>
  <c r="AO95" i="9"/>
  <c r="AO127" i="9" s="1"/>
  <c r="AO102" i="9"/>
  <c r="AO105" i="9"/>
  <c r="AO113" i="9"/>
  <c r="AO108" i="9"/>
  <c r="Q165" i="9"/>
  <c r="AO87" i="9"/>
  <c r="AO119" i="9" s="1"/>
  <c r="AO110" i="9"/>
  <c r="AO88" i="9"/>
  <c r="AO120" i="9" s="1"/>
  <c r="AO93" i="9"/>
  <c r="AO125" i="9" s="1"/>
  <c r="AQ51" i="7"/>
  <c r="AQ46" i="7"/>
  <c r="AQ56" i="7"/>
  <c r="AP69" i="9"/>
  <c r="AP134" i="9"/>
  <c r="AP151" i="9" s="1"/>
  <c r="AP77" i="9"/>
  <c r="AP93" i="9" s="1"/>
  <c r="AP125" i="9" s="1"/>
  <c r="AP28" i="9"/>
  <c r="AP60" i="9" s="1"/>
  <c r="AP142" i="9"/>
  <c r="AP159" i="9" s="1"/>
  <c r="AP74" i="9"/>
  <c r="AP106" i="9" s="1"/>
  <c r="AP139" i="9"/>
  <c r="AP156" i="9" s="1"/>
  <c r="AP25" i="9"/>
  <c r="AP57" i="9" s="1"/>
  <c r="AP80" i="9"/>
  <c r="AP96" i="9" s="1"/>
  <c r="AP128" i="9" s="1"/>
  <c r="AP145" i="9"/>
  <c r="AP162" i="9" s="1"/>
  <c r="AP31" i="9"/>
  <c r="AP63" i="9" s="1"/>
  <c r="AP75" i="9"/>
  <c r="AP91" i="9" s="1"/>
  <c r="AP123" i="9" s="1"/>
  <c r="AP140" i="9"/>
  <c r="AP157" i="9" s="1"/>
  <c r="AP26" i="9"/>
  <c r="AP58" i="9" s="1"/>
  <c r="AP70" i="9"/>
  <c r="AP135" i="9"/>
  <c r="AP152" i="9" s="1"/>
  <c r="AP78" i="9"/>
  <c r="AP94" i="9" s="1"/>
  <c r="AP126" i="9" s="1"/>
  <c r="AP143" i="9"/>
  <c r="AP160" i="9" s="1"/>
  <c r="AP29" i="9"/>
  <c r="AP61" i="9" s="1"/>
  <c r="AP68" i="9"/>
  <c r="AP133" i="9"/>
  <c r="AP71" i="9"/>
  <c r="AP103" i="9" s="1"/>
  <c r="AP136" i="9"/>
  <c r="AP153" i="9" s="1"/>
  <c r="AP22" i="9"/>
  <c r="AP54" i="9" s="1"/>
  <c r="AP81" i="9"/>
  <c r="AP97" i="9" s="1"/>
  <c r="AP129" i="9" s="1"/>
  <c r="AP146" i="9"/>
  <c r="AP32" i="9"/>
  <c r="AP64" i="9" s="1"/>
  <c r="AP76" i="9"/>
  <c r="AP92" i="9" s="1"/>
  <c r="AP124" i="9" s="1"/>
  <c r="AP141" i="9"/>
  <c r="AP158" i="9" s="1"/>
  <c r="AP27" i="9"/>
  <c r="AP59" i="9" s="1"/>
  <c r="AP72" i="9"/>
  <c r="AP88" i="9" s="1"/>
  <c r="AP120" i="9" s="1"/>
  <c r="AP137" i="9"/>
  <c r="AP154" i="9" s="1"/>
  <c r="AP39" i="9"/>
  <c r="AP79" i="9"/>
  <c r="AP111" i="9" s="1"/>
  <c r="AP30" i="9"/>
  <c r="AP62" i="9" s="1"/>
  <c r="AP144" i="9"/>
  <c r="AP161" i="9" s="1"/>
  <c r="AP73" i="9"/>
  <c r="AP89" i="9" s="1"/>
  <c r="AP121" i="9" s="1"/>
  <c r="AP138" i="9"/>
  <c r="AP155" i="9" s="1"/>
  <c r="AP40" i="9"/>
  <c r="AQ47" i="7"/>
  <c r="AQ53" i="7"/>
  <c r="AQ57" i="7"/>
  <c r="AQ50" i="7"/>
  <c r="AQ52" i="7"/>
  <c r="AQ54" i="7"/>
  <c r="AQ45" i="7"/>
  <c r="AP23" i="9"/>
  <c r="AP55" i="9" s="1"/>
  <c r="AP42" i="9"/>
  <c r="AP48" i="9"/>
  <c r="AP24" i="9"/>
  <c r="AP56" i="9" s="1"/>
  <c r="AP43" i="9"/>
  <c r="AP47" i="9"/>
  <c r="AP38" i="9"/>
  <c r="AP41" i="9"/>
  <c r="AP46" i="9"/>
  <c r="AP45" i="9"/>
  <c r="AP44" i="9"/>
  <c r="T165" i="9"/>
  <c r="P4" i="15"/>
  <c r="P5" i="15" s="1"/>
  <c r="Q130" i="9"/>
  <c r="Q50" i="13"/>
  <c r="Q51" i="13" s="1"/>
  <c r="Q52" i="13" s="1"/>
  <c r="M5" i="11"/>
  <c r="I290" i="19" s="1"/>
  <c r="O370" i="43"/>
  <c r="P370" i="43"/>
  <c r="P166" i="9"/>
  <c r="AB165" i="9"/>
  <c r="A53" i="43"/>
  <c r="B53" i="43" s="1"/>
  <c r="C52" i="43"/>
  <c r="D52" i="43" s="1"/>
  <c r="N30" i="15"/>
  <c r="C16" i="12"/>
  <c r="M37" i="15"/>
  <c r="I394" i="19" s="1"/>
  <c r="N10" i="15"/>
  <c r="Q98" i="9"/>
  <c r="U166" i="9"/>
  <c r="AA166" i="9"/>
  <c r="AD83" i="9"/>
  <c r="AD115" i="9" s="1"/>
  <c r="AD99" i="9"/>
  <c r="AB115" i="9"/>
  <c r="AB130" i="9" s="1"/>
  <c r="AB98" i="9"/>
  <c r="AC99" i="9"/>
  <c r="AC114" i="9" s="1"/>
  <c r="AC83" i="9"/>
  <c r="AC82" i="9"/>
  <c r="AD134" i="9"/>
  <c r="AD151" i="9" s="1"/>
  <c r="AD69" i="9"/>
  <c r="AH85" i="9" s="1"/>
  <c r="AH117" i="9" s="1"/>
  <c r="AD20" i="9"/>
  <c r="AD36" i="9"/>
  <c r="AD135" i="9"/>
  <c r="AD152" i="9" s="1"/>
  <c r="AD21" i="9"/>
  <c r="AD53" i="9" s="1"/>
  <c r="AD70" i="9"/>
  <c r="AH86" i="9" s="1"/>
  <c r="AH118" i="9" s="1"/>
  <c r="AD37" i="9"/>
  <c r="R132" i="9"/>
  <c r="R67" i="9"/>
  <c r="V83" i="9" s="1"/>
  <c r="R18" i="9"/>
  <c r="R50" i="9" s="1"/>
  <c r="R65" i="9" s="1"/>
  <c r="R34" i="9"/>
  <c r="R49" i="9" s="1"/>
  <c r="R14" i="13" s="1"/>
  <c r="R23" i="13" s="1"/>
  <c r="R17" i="9"/>
  <c r="N4" i="11" s="1"/>
  <c r="AD84" i="9"/>
  <c r="AD116" i="9" s="1"/>
  <c r="AD100" i="9"/>
  <c r="AP20" i="9"/>
  <c r="AP52" i="9" s="1"/>
  <c r="AP36" i="9"/>
  <c r="AP21" i="9"/>
  <c r="AP53" i="9" s="1"/>
  <c r="AP37" i="9"/>
  <c r="AC50" i="9"/>
  <c r="AC65" i="9" s="1"/>
  <c r="AC33" i="9"/>
  <c r="AC149" i="9"/>
  <c r="AC163" i="9" s="1"/>
  <c r="AC147" i="9"/>
  <c r="R121" i="9"/>
  <c r="AD121" i="9"/>
  <c r="R92" i="9"/>
  <c r="R124" i="9" s="1"/>
  <c r="R108" i="9"/>
  <c r="R23" i="18"/>
  <c r="I253" i="19" s="1"/>
  <c r="O4" i="15"/>
  <c r="R70" i="13"/>
  <c r="R72" i="13" s="1"/>
  <c r="Q71" i="13" s="1"/>
  <c r="R39" i="13"/>
  <c r="Q15" i="13"/>
  <c r="Q7" i="15"/>
  <c r="O11" i="8"/>
  <c r="N9" i="11" s="1"/>
  <c r="E192" i="19"/>
  <c r="Q31" i="8"/>
  <c r="O29" i="11"/>
  <c r="O30" i="15" s="1"/>
  <c r="Q29" i="8"/>
  <c r="O27" i="11"/>
  <c r="O28" i="15" s="1"/>
  <c r="Q30" i="8"/>
  <c r="O28" i="11"/>
  <c r="O29" i="15" s="1"/>
  <c r="S40" i="13"/>
  <c r="H291" i="19"/>
  <c r="R4" i="15"/>
  <c r="R5" i="15" s="1"/>
  <c r="R6" i="11"/>
  <c r="R7" i="11" s="1"/>
  <c r="R8" i="15"/>
  <c r="M6" i="11"/>
  <c r="E1" i="41"/>
  <c r="L8" i="15"/>
  <c r="H380" i="19" s="1"/>
  <c r="T42" i="8"/>
  <c r="S31" i="11" s="1"/>
  <c r="J300" i="19"/>
  <c r="H386" i="19"/>
  <c r="H298" i="19"/>
  <c r="R26" i="8"/>
  <c r="Q24" i="11" s="1"/>
  <c r="Q25" i="15" s="1"/>
  <c r="P20" i="11"/>
  <c r="P21" i="15" s="1"/>
  <c r="R28" i="8"/>
  <c r="Q26" i="11" s="1"/>
  <c r="Q27" i="15" s="1"/>
  <c r="Q24" i="8"/>
  <c r="P22" i="11" s="1"/>
  <c r="P23" i="15" s="1"/>
  <c r="P18" i="11"/>
  <c r="P19" i="15" s="1"/>
  <c r="Q27" i="8"/>
  <c r="P25" i="11" s="1"/>
  <c r="P26" i="15" s="1"/>
  <c r="Q25" i="8"/>
  <c r="P23" i="11" s="1"/>
  <c r="P24" i="15" s="1"/>
  <c r="P21" i="11"/>
  <c r="P22" i="15" s="1"/>
  <c r="P19" i="11"/>
  <c r="P20" i="15" s="1"/>
  <c r="P17" i="11"/>
  <c r="P18" i="15" s="1"/>
  <c r="I296" i="19"/>
  <c r="H385" i="19"/>
  <c r="H297" i="19"/>
  <c r="H384" i="19"/>
  <c r="P17" i="13"/>
  <c r="P19" i="13" s="1"/>
  <c r="T15" i="11"/>
  <c r="T16" i="15" s="1"/>
  <c r="T13" i="11"/>
  <c r="T14" i="15" s="1"/>
  <c r="AE11" i="11"/>
  <c r="T16" i="11"/>
  <c r="T17" i="15" s="1"/>
  <c r="T14" i="11"/>
  <c r="T15" i="15" s="1"/>
  <c r="H295" i="19"/>
  <c r="J383" i="19"/>
  <c r="Z27" i="41"/>
  <c r="G292" i="19"/>
  <c r="K71" i="41"/>
  <c r="K72" i="41" s="1"/>
  <c r="AA27" i="41"/>
  <c r="L71" i="41"/>
  <c r="L72" i="41" s="1"/>
  <c r="I15" i="18"/>
  <c r="I16" i="18" s="1"/>
  <c r="M15" i="18"/>
  <c r="M16" i="18" s="1"/>
  <c r="H292" i="19"/>
  <c r="C234" i="19"/>
  <c r="E13" i="18"/>
  <c r="E243" i="19" s="1"/>
  <c r="E10" i="18"/>
  <c r="E240" i="19" s="1"/>
  <c r="E9" i="18"/>
  <c r="E239" i="19" s="1"/>
  <c r="C9" i="18"/>
  <c r="E11" i="18"/>
  <c r="E241" i="19" s="1"/>
  <c r="C10" i="18"/>
  <c r="C13" i="18"/>
  <c r="E237" i="19"/>
  <c r="C12" i="18"/>
  <c r="E8" i="18"/>
  <c r="E238" i="19" s="1"/>
  <c r="C11" i="18"/>
  <c r="C8" i="18"/>
  <c r="E12" i="18"/>
  <c r="E242" i="19" s="1"/>
  <c r="E5" i="18"/>
  <c r="E235" i="19" s="1"/>
  <c r="G9" i="18"/>
  <c r="G239" i="19" s="1"/>
  <c r="G12" i="18"/>
  <c r="G242" i="19" s="1"/>
  <c r="G10" i="18"/>
  <c r="G240" i="19" s="1"/>
  <c r="G13" i="18"/>
  <c r="G243" i="19" s="1"/>
  <c r="G237" i="19"/>
  <c r="G234" i="19"/>
  <c r="G8" i="18"/>
  <c r="G238" i="19" s="1"/>
  <c r="G11" i="18"/>
  <c r="G241" i="19" s="1"/>
  <c r="G6" i="18"/>
  <c r="G236" i="19" s="1"/>
  <c r="N6" i="8"/>
  <c r="Q16" i="13"/>
  <c r="D6" i="18"/>
  <c r="D236" i="19" s="1"/>
  <c r="D5" i="18"/>
  <c r="D235" i="19" s="1"/>
  <c r="F13" i="18"/>
  <c r="F243" i="19" s="1"/>
  <c r="F11" i="18"/>
  <c r="F241" i="19" s="1"/>
  <c r="F10" i="18"/>
  <c r="F240" i="19" s="1"/>
  <c r="F237" i="19"/>
  <c r="F234" i="19"/>
  <c r="F12" i="18"/>
  <c r="F242" i="19" s="1"/>
  <c r="F9" i="18"/>
  <c r="F239" i="19" s="1"/>
  <c r="F8" i="18"/>
  <c r="F238" i="19" s="1"/>
  <c r="F5" i="18"/>
  <c r="F235" i="19" s="1"/>
  <c r="H5" i="18"/>
  <c r="J10" i="18"/>
  <c r="J8" i="18"/>
  <c r="J11" i="18"/>
  <c r="J9" i="18"/>
  <c r="J13" i="18"/>
  <c r="J12" i="18"/>
  <c r="J5" i="18"/>
  <c r="N13" i="18"/>
  <c r="N12" i="18"/>
  <c r="N11" i="18"/>
  <c r="N9" i="18"/>
  <c r="N8" i="18"/>
  <c r="N10" i="18"/>
  <c r="N5" i="18"/>
  <c r="L5" i="18"/>
  <c r="N6" i="18"/>
  <c r="L1" i="22"/>
  <c r="C1" i="3"/>
  <c r="F1" i="8"/>
  <c r="O15" i="18"/>
  <c r="O16" i="18" s="1"/>
  <c r="I289" i="19"/>
  <c r="C123" i="19"/>
  <c r="E234" i="19"/>
  <c r="E6" i="18"/>
  <c r="E236" i="19" s="1"/>
  <c r="G5" i="18"/>
  <c r="G235" i="19" s="1"/>
  <c r="N8" i="8"/>
  <c r="D234" i="19"/>
  <c r="D12" i="18"/>
  <c r="D242" i="19" s="1"/>
  <c r="D10" i="18"/>
  <c r="D240" i="19" s="1"/>
  <c r="D11" i="18"/>
  <c r="D241" i="19" s="1"/>
  <c r="D8" i="18"/>
  <c r="D238" i="19" s="1"/>
  <c r="D237" i="19"/>
  <c r="D13" i="18"/>
  <c r="D243" i="19" s="1"/>
  <c r="D9" i="18"/>
  <c r="D239" i="19" s="1"/>
  <c r="F6" i="18"/>
  <c r="F236" i="19" s="1"/>
  <c r="H6" i="18"/>
  <c r="H8" i="18"/>
  <c r="H13" i="18"/>
  <c r="H11" i="18"/>
  <c r="H9" i="18"/>
  <c r="H12" i="18"/>
  <c r="H10" i="18"/>
  <c r="H234" i="19"/>
  <c r="J6" i="18"/>
  <c r="L12" i="18"/>
  <c r="L10" i="18"/>
  <c r="L8" i="18"/>
  <c r="L9" i="18"/>
  <c r="L13" i="18"/>
  <c r="L11" i="18"/>
  <c r="L6" i="18"/>
  <c r="P11" i="18"/>
  <c r="P8" i="18"/>
  <c r="P10" i="18"/>
  <c r="P9" i="18"/>
  <c r="P13" i="18"/>
  <c r="P12" i="18"/>
  <c r="P5" i="18"/>
  <c r="P6" i="18"/>
  <c r="H290" i="19"/>
  <c r="G380" i="19"/>
  <c r="H376" i="19"/>
  <c r="H377" i="19"/>
  <c r="Q15" i="18"/>
  <c r="Q16" i="18" s="1"/>
  <c r="M10" i="11"/>
  <c r="N11" i="15" s="1"/>
  <c r="X58" i="7"/>
  <c r="Q71" i="41"/>
  <c r="Q72" i="41" s="1"/>
  <c r="W15" i="13"/>
  <c r="S5" i="11"/>
  <c r="S6" i="8"/>
  <c r="E116" i="19"/>
  <c r="S8" i="8"/>
  <c r="T4" i="8"/>
  <c r="W16" i="13"/>
  <c r="I252" i="19"/>
  <c r="E52" i="32"/>
  <c r="C325" i="19"/>
  <c r="J387" i="19"/>
  <c r="M32" i="8"/>
  <c r="H294" i="19"/>
  <c r="V69" i="22"/>
  <c r="S5" i="13"/>
  <c r="M9" i="11"/>
  <c r="I382" i="19"/>
  <c r="U103" i="22"/>
  <c r="O12" i="8" s="1"/>
  <c r="I249" i="19"/>
  <c r="T6" i="13"/>
  <c r="P12" i="15" s="1"/>
  <c r="C322" i="19"/>
  <c r="E49" i="32"/>
  <c r="C35" i="12"/>
  <c r="J384" i="19"/>
  <c r="S2" i="13"/>
  <c r="S3" i="13" s="1"/>
  <c r="T1" i="9"/>
  <c r="R7" i="13"/>
  <c r="R8" i="13"/>
  <c r="E53" i="32" l="1"/>
  <c r="E68" i="56"/>
  <c r="J388" i="19"/>
  <c r="O5" i="15"/>
  <c r="M7" i="15"/>
  <c r="I379" i="19" s="1"/>
  <c r="AP105" i="9"/>
  <c r="T42" i="7"/>
  <c r="S4" i="7"/>
  <c r="S22" i="7" s="1"/>
  <c r="AP110" i="9"/>
  <c r="AP112" i="9"/>
  <c r="AP87" i="9"/>
  <c r="AP119" i="9" s="1"/>
  <c r="AD163" i="9"/>
  <c r="AP108" i="9"/>
  <c r="AP107" i="9"/>
  <c r="R50" i="13"/>
  <c r="R51" i="13" s="1"/>
  <c r="R52" i="13" s="1"/>
  <c r="AP95" i="9"/>
  <c r="AP127" i="9" s="1"/>
  <c r="AP90" i="9"/>
  <c r="AP122" i="9" s="1"/>
  <c r="R82" i="9"/>
  <c r="R168" i="9" s="1"/>
  <c r="AP113" i="9"/>
  <c r="AP104" i="9"/>
  <c r="AP109" i="9"/>
  <c r="Q166" i="9"/>
  <c r="C6" i="18"/>
  <c r="C236" i="19" s="1"/>
  <c r="M7" i="11"/>
  <c r="M71" i="41" s="1"/>
  <c r="M72" i="41" s="1"/>
  <c r="O4" i="8"/>
  <c r="A54" i="43"/>
  <c r="B54" i="43" s="1"/>
  <c r="C53" i="43"/>
  <c r="N36" i="15"/>
  <c r="R11" i="13"/>
  <c r="R12" i="13" s="1"/>
  <c r="D48" i="10" s="1"/>
  <c r="N37" i="15"/>
  <c r="O10" i="15"/>
  <c r="C5" i="18"/>
  <c r="C235" i="19" s="1"/>
  <c r="V115" i="9"/>
  <c r="V130" i="9" s="1"/>
  <c r="V98" i="9"/>
  <c r="AB166" i="9"/>
  <c r="R33" i="9"/>
  <c r="O42" i="8"/>
  <c r="N31" i="11" s="1"/>
  <c r="D28" i="10" s="1"/>
  <c r="R83" i="9"/>
  <c r="R115" i="9" s="1"/>
  <c r="R130" i="9" s="1"/>
  <c r="R99" i="9"/>
  <c r="R114" i="9" s="1"/>
  <c r="R15" i="13" s="1"/>
  <c r="AD49" i="9"/>
  <c r="AD85" i="9"/>
  <c r="AD101" i="9"/>
  <c r="AD82" i="9"/>
  <c r="AD168" i="9" s="1"/>
  <c r="AC168" i="9"/>
  <c r="AC165" i="9"/>
  <c r="AP86" i="9"/>
  <c r="AP118" i="9" s="1"/>
  <c r="AP102" i="9"/>
  <c r="AP85" i="9"/>
  <c r="AP117" i="9" s="1"/>
  <c r="AP101" i="9"/>
  <c r="R149" i="9"/>
  <c r="R163" i="9" s="1"/>
  <c r="R16" i="13" s="1"/>
  <c r="R147" i="9"/>
  <c r="N6" i="11" s="1"/>
  <c r="AD86" i="9"/>
  <c r="AD118" i="9" s="1"/>
  <c r="AD102" i="9"/>
  <c r="AD52" i="9"/>
  <c r="AD65" i="9" s="1"/>
  <c r="AD33" i="9"/>
  <c r="AC115" i="9"/>
  <c r="AC130" i="9" s="1"/>
  <c r="AC98" i="9"/>
  <c r="AD147" i="9"/>
  <c r="S39" i="13"/>
  <c r="S70" i="13"/>
  <c r="S72" i="13" s="1"/>
  <c r="R71" i="13" s="1"/>
  <c r="R73" i="13" s="1"/>
  <c r="F191" i="19"/>
  <c r="F192" i="19" s="1"/>
  <c r="S4" i="15"/>
  <c r="S5" i="15" s="1"/>
  <c r="P11" i="8"/>
  <c r="O9" i="11" s="1"/>
  <c r="R30" i="8"/>
  <c r="P28" i="11"/>
  <c r="P29" i="15" s="1"/>
  <c r="R29" i="8"/>
  <c r="P27" i="11"/>
  <c r="P28" i="15" s="1"/>
  <c r="R31" i="8"/>
  <c r="P29" i="11"/>
  <c r="P30" i="15" s="1"/>
  <c r="T40" i="13"/>
  <c r="S6" i="11"/>
  <c r="S7" i="11" s="1"/>
  <c r="S8" i="15"/>
  <c r="M8" i="15"/>
  <c r="I380" i="19" s="1"/>
  <c r="C326" i="19"/>
  <c r="I297" i="19"/>
  <c r="C13" i="12"/>
  <c r="E65" i="56" s="1"/>
  <c r="J385" i="19"/>
  <c r="J297" i="19"/>
  <c r="U14" i="11"/>
  <c r="U15" i="15" s="1"/>
  <c r="U16" i="11"/>
  <c r="U17" i="15" s="1"/>
  <c r="AF11" i="11"/>
  <c r="U13" i="11"/>
  <c r="U14" i="15" s="1"/>
  <c r="U15" i="11"/>
  <c r="U16" i="15" s="1"/>
  <c r="I384" i="19"/>
  <c r="Q17" i="11"/>
  <c r="Q18" i="15" s="1"/>
  <c r="Q19" i="11"/>
  <c r="Q20" i="15" s="1"/>
  <c r="Q21" i="11"/>
  <c r="Q22" i="15" s="1"/>
  <c r="R25" i="8"/>
  <c r="Q23" i="11" s="1"/>
  <c r="Q24" i="15" s="1"/>
  <c r="R27" i="8"/>
  <c r="Q25" i="11" s="1"/>
  <c r="Q26" i="15" s="1"/>
  <c r="Q18" i="11"/>
  <c r="Q19" i="15" s="1"/>
  <c r="R24" i="8"/>
  <c r="Q22" i="11" s="1"/>
  <c r="Q23" i="15" s="1"/>
  <c r="S28" i="8"/>
  <c r="R26" i="11" s="1"/>
  <c r="R27" i="15" s="1"/>
  <c r="Q20" i="11"/>
  <c r="Q21" i="15" s="1"/>
  <c r="S26" i="8"/>
  <c r="R24" i="11" s="1"/>
  <c r="R25" i="15" s="1"/>
  <c r="R20" i="18"/>
  <c r="I250" i="19" s="1"/>
  <c r="W69" i="22"/>
  <c r="H15" i="18"/>
  <c r="H16" i="18" s="1"/>
  <c r="H240" i="19"/>
  <c r="G15" i="18"/>
  <c r="G245" i="19" s="1"/>
  <c r="P15" i="18"/>
  <c r="P16" i="18" s="1"/>
  <c r="H242" i="19"/>
  <c r="H239" i="19"/>
  <c r="H243" i="19"/>
  <c r="J15" i="18"/>
  <c r="J16" i="18" s="1"/>
  <c r="H237" i="19"/>
  <c r="H241" i="19"/>
  <c r="H238" i="19"/>
  <c r="D15" i="18"/>
  <c r="E15" i="18"/>
  <c r="R4" i="18"/>
  <c r="J289" i="19"/>
  <c r="C124" i="19"/>
  <c r="C125" i="19" s="1"/>
  <c r="D123" i="19" s="1"/>
  <c r="C4" i="12"/>
  <c r="E56" i="56" s="1"/>
  <c r="N15" i="18"/>
  <c r="N16" i="18" s="1"/>
  <c r="L15" i="18"/>
  <c r="L16" i="18" s="1"/>
  <c r="H235" i="19"/>
  <c r="R8" i="18"/>
  <c r="C238" i="19"/>
  <c r="C237" i="19"/>
  <c r="C239" i="19"/>
  <c r="R9" i="18"/>
  <c r="H236" i="19"/>
  <c r="I291" i="19"/>
  <c r="I377" i="19"/>
  <c r="I376" i="19"/>
  <c r="H379" i="19"/>
  <c r="F15" i="18"/>
  <c r="C241" i="19"/>
  <c r="R11" i="18"/>
  <c r="C242" i="19"/>
  <c r="R12" i="18"/>
  <c r="C243" i="19"/>
  <c r="R13" i="18"/>
  <c r="C240" i="19"/>
  <c r="R10" i="18"/>
  <c r="I295" i="19"/>
  <c r="J382" i="19"/>
  <c r="X16" i="13"/>
  <c r="X14" i="13"/>
  <c r="T4" i="11"/>
  <c r="Y58" i="7"/>
  <c r="T6" i="8"/>
  <c r="R71" i="41"/>
  <c r="R72" i="41" s="1"/>
  <c r="T8" i="8"/>
  <c r="E117" i="19"/>
  <c r="N10" i="11"/>
  <c r="O11" i="15" s="1"/>
  <c r="N32" i="8"/>
  <c r="C10" i="12"/>
  <c r="E62" i="56" s="1"/>
  <c r="T5" i="13"/>
  <c r="V103" i="22"/>
  <c r="P12" i="8" s="1"/>
  <c r="O10" i="11" s="1"/>
  <c r="P11" i="15" s="1"/>
  <c r="U6" i="13"/>
  <c r="Q12" i="15" s="1"/>
  <c r="J294" i="19"/>
  <c r="U1" i="9"/>
  <c r="T2" i="13"/>
  <c r="T3" i="13" s="1"/>
  <c r="S8" i="13"/>
  <c r="S7" i="13"/>
  <c r="O36" i="15" s="1"/>
  <c r="D50" i="10" l="1"/>
  <c r="E128" i="56"/>
  <c r="E136" i="56"/>
  <c r="H2" i="51"/>
  <c r="I6" i="51" s="1"/>
  <c r="N4" i="15"/>
  <c r="E110" i="56" s="1"/>
  <c r="U42" i="7"/>
  <c r="T4" i="7"/>
  <c r="T22" i="7" s="1"/>
  <c r="S50" i="13"/>
  <c r="T50" i="13" s="1"/>
  <c r="U50" i="13" s="1"/>
  <c r="L19" i="48"/>
  <c r="R165" i="9"/>
  <c r="O6" i="8"/>
  <c r="N5" i="11"/>
  <c r="N7" i="11" s="1"/>
  <c r="R15" i="18" s="1"/>
  <c r="D53" i="43"/>
  <c r="J302" i="19"/>
  <c r="A55" i="43"/>
  <c r="B55" i="43" s="1"/>
  <c r="C54" i="43"/>
  <c r="D54" i="43" s="1"/>
  <c r="R98" i="9"/>
  <c r="R7" i="15"/>
  <c r="P10" i="15"/>
  <c r="O37" i="15"/>
  <c r="C15" i="18"/>
  <c r="C245" i="19" s="1"/>
  <c r="V166" i="9"/>
  <c r="R25" i="18"/>
  <c r="I255" i="19" s="1"/>
  <c r="AC166" i="9"/>
  <c r="AD165" i="9"/>
  <c r="C18" i="12"/>
  <c r="E70" i="56" s="1"/>
  <c r="O8" i="8"/>
  <c r="AD114" i="9"/>
  <c r="AD117" i="9"/>
  <c r="AD130" i="9" s="1"/>
  <c r="AD98" i="9"/>
  <c r="J291" i="19"/>
  <c r="T70" i="13"/>
  <c r="T72" i="13" s="1"/>
  <c r="S71" i="13" s="1"/>
  <c r="T39" i="13"/>
  <c r="Q11" i="8"/>
  <c r="P9" i="11" s="1"/>
  <c r="S31" i="8"/>
  <c r="Q29" i="11"/>
  <c r="Q30" i="15" s="1"/>
  <c r="S29" i="8"/>
  <c r="Q27" i="11"/>
  <c r="Q28" i="15" s="1"/>
  <c r="S30" i="8"/>
  <c r="Q28" i="11"/>
  <c r="Q29" i="15" s="1"/>
  <c r="U40" i="13"/>
  <c r="S7" i="15"/>
  <c r="T4" i="15"/>
  <c r="T5" i="15" s="1"/>
  <c r="N8" i="15"/>
  <c r="U42" i="8"/>
  <c r="T31" i="11" s="1"/>
  <c r="E118" i="19"/>
  <c r="J386" i="19"/>
  <c r="J298" i="19"/>
  <c r="R17" i="13"/>
  <c r="R19" i="13" s="1"/>
  <c r="T26" i="8"/>
  <c r="S24" i="11" s="1"/>
  <c r="S25" i="15" s="1"/>
  <c r="R20" i="11"/>
  <c r="R21" i="15" s="1"/>
  <c r="T28" i="8"/>
  <c r="S26" i="11" s="1"/>
  <c r="S27" i="15" s="1"/>
  <c r="S24" i="8"/>
  <c r="R22" i="11" s="1"/>
  <c r="R23" i="15" s="1"/>
  <c r="R18" i="11"/>
  <c r="R19" i="15" s="1"/>
  <c r="S27" i="8"/>
  <c r="R25" i="11" s="1"/>
  <c r="R26" i="15" s="1"/>
  <c r="S25" i="8"/>
  <c r="R23" i="11" s="1"/>
  <c r="R24" i="15" s="1"/>
  <c r="R21" i="11"/>
  <c r="R22" i="15" s="1"/>
  <c r="R19" i="11"/>
  <c r="R20" i="15" s="1"/>
  <c r="R17" i="11"/>
  <c r="R18" i="15" s="1"/>
  <c r="I298" i="19"/>
  <c r="R21" i="18"/>
  <c r="I251" i="19" s="1"/>
  <c r="C14" i="12"/>
  <c r="E66" i="56" s="1"/>
  <c r="Q17" i="13"/>
  <c r="Q19" i="13" s="1"/>
  <c r="V15" i="11"/>
  <c r="V16" i="15" s="1"/>
  <c r="V13" i="11"/>
  <c r="V14" i="15" s="1"/>
  <c r="AG11" i="11"/>
  <c r="V16" i="11"/>
  <c r="V17" i="15" s="1"/>
  <c r="V14" i="11"/>
  <c r="V15" i="15" s="1"/>
  <c r="C36" i="12"/>
  <c r="C323" i="19"/>
  <c r="E50" i="32"/>
  <c r="I385" i="19"/>
  <c r="AB27" i="41"/>
  <c r="P32" i="8"/>
  <c r="G16" i="18"/>
  <c r="AC27" i="41"/>
  <c r="H245" i="19"/>
  <c r="R6" i="18"/>
  <c r="S6" i="18" s="1"/>
  <c r="F245" i="19"/>
  <c r="F16" i="18"/>
  <c r="C6" i="12"/>
  <c r="E58" i="56" s="1"/>
  <c r="I239" i="19"/>
  <c r="S9" i="18"/>
  <c r="I237" i="19"/>
  <c r="I238" i="19"/>
  <c r="S8" i="18"/>
  <c r="I292" i="19"/>
  <c r="K3" i="18"/>
  <c r="S4" i="18"/>
  <c r="I234" i="19"/>
  <c r="I3" i="18"/>
  <c r="O3" i="18"/>
  <c r="M3" i="18"/>
  <c r="Q3" i="18"/>
  <c r="J3" i="18"/>
  <c r="E3" i="18"/>
  <c r="D3" i="18"/>
  <c r="H3" i="18"/>
  <c r="L3" i="18"/>
  <c r="S23" i="18"/>
  <c r="S22" i="18"/>
  <c r="C3" i="18"/>
  <c r="G3" i="18"/>
  <c r="F3" i="18"/>
  <c r="N3" i="18"/>
  <c r="P3" i="18"/>
  <c r="S20" i="18"/>
  <c r="S19" i="18"/>
  <c r="E16" i="18"/>
  <c r="E245" i="19"/>
  <c r="I240" i="19"/>
  <c r="S10" i="18"/>
  <c r="I243" i="19"/>
  <c r="S13" i="18"/>
  <c r="I242" i="19"/>
  <c r="S12" i="18"/>
  <c r="I241" i="19"/>
  <c r="S11" i="18"/>
  <c r="D124" i="19"/>
  <c r="D116" i="19"/>
  <c r="D114" i="19"/>
  <c r="D121" i="19"/>
  <c r="D119" i="19"/>
  <c r="D113" i="19"/>
  <c r="D117" i="19"/>
  <c r="D125" i="19"/>
  <c r="D120" i="19"/>
  <c r="D115" i="19"/>
  <c r="D118" i="19"/>
  <c r="D122" i="19"/>
  <c r="C314" i="19"/>
  <c r="G3" i="20"/>
  <c r="E41" i="32"/>
  <c r="D4" i="12"/>
  <c r="F56" i="56" s="1"/>
  <c r="D16" i="12"/>
  <c r="F68" i="56" s="1"/>
  <c r="D15" i="12"/>
  <c r="F67" i="56" s="1"/>
  <c r="D13" i="12"/>
  <c r="F65" i="56" s="1"/>
  <c r="D12" i="12"/>
  <c r="F64" i="56" s="1"/>
  <c r="D245" i="19"/>
  <c r="D16" i="18"/>
  <c r="R17" i="18"/>
  <c r="S17" i="18" s="1"/>
  <c r="X15" i="13"/>
  <c r="T5" i="11"/>
  <c r="U4" i="11"/>
  <c r="U5" i="11"/>
  <c r="Y14" i="13"/>
  <c r="U4" i="8"/>
  <c r="S71" i="41"/>
  <c r="S72" i="41" s="1"/>
  <c r="V4" i="11"/>
  <c r="Z14" i="13"/>
  <c r="I294" i="19"/>
  <c r="O32" i="8"/>
  <c r="U5" i="13"/>
  <c r="X69" i="22"/>
  <c r="W103" i="22"/>
  <c r="Q12" i="8" s="1"/>
  <c r="P10" i="11" s="1"/>
  <c r="Q11" i="15" s="1"/>
  <c r="V6" i="13"/>
  <c r="R12" i="15" s="1"/>
  <c r="E47" i="32"/>
  <c r="C320" i="19"/>
  <c r="D10" i="12"/>
  <c r="F62" i="56" s="1"/>
  <c r="V1" i="9"/>
  <c r="U2" i="13"/>
  <c r="U3" i="13" s="1"/>
  <c r="T8" i="13"/>
  <c r="T7" i="13"/>
  <c r="P36" i="15" s="1"/>
  <c r="J394" i="19"/>
  <c r="E117" i="32" l="1"/>
  <c r="E116" i="32"/>
  <c r="E111" i="32"/>
  <c r="E119" i="32"/>
  <c r="J376" i="19"/>
  <c r="D14" i="12"/>
  <c r="F66" i="56" s="1"/>
  <c r="E95" i="32"/>
  <c r="I2" i="51"/>
  <c r="F41" i="32"/>
  <c r="F119" i="32" s="1"/>
  <c r="E55" i="32"/>
  <c r="S51" i="13"/>
  <c r="S52" i="13" s="1"/>
  <c r="N5" i="15"/>
  <c r="J377" i="19" s="1"/>
  <c r="R166" i="9"/>
  <c r="D44" i="10" s="1"/>
  <c r="N7" i="15"/>
  <c r="J379" i="19" s="1"/>
  <c r="H7" i="51"/>
  <c r="I7" i="51" s="1"/>
  <c r="V42" i="7"/>
  <c r="U4" i="7"/>
  <c r="U22" i="7" s="1"/>
  <c r="C5" i="12"/>
  <c r="E57" i="56" s="1"/>
  <c r="U63" i="13"/>
  <c r="R5" i="18"/>
  <c r="I235" i="19" s="1"/>
  <c r="J235" i="19" s="1"/>
  <c r="J290" i="19"/>
  <c r="S25" i="18"/>
  <c r="A56" i="43"/>
  <c r="B56" i="43" s="1"/>
  <c r="C55" i="43"/>
  <c r="D55" i="43" s="1"/>
  <c r="C16" i="18"/>
  <c r="C328" i="19"/>
  <c r="P37" i="15"/>
  <c r="Q10" i="15"/>
  <c r="D18" i="12"/>
  <c r="F70" i="56" s="1"/>
  <c r="AD166" i="9"/>
  <c r="S53" i="13"/>
  <c r="S54" i="13" s="1"/>
  <c r="T58" i="13"/>
  <c r="J241" i="19"/>
  <c r="J242" i="19"/>
  <c r="J243" i="19"/>
  <c r="J240" i="19"/>
  <c r="V63" i="13"/>
  <c r="U58" i="13"/>
  <c r="V50" i="13"/>
  <c r="U39" i="13"/>
  <c r="U70" i="13"/>
  <c r="U72" i="13" s="1"/>
  <c r="T71" i="13" s="1"/>
  <c r="S21" i="18"/>
  <c r="R11" i="8"/>
  <c r="Q9" i="11" s="1"/>
  <c r="T30" i="8"/>
  <c r="R28" i="11"/>
  <c r="R29" i="15" s="1"/>
  <c r="T29" i="8"/>
  <c r="R27" i="11"/>
  <c r="R28" i="15" s="1"/>
  <c r="T31" i="8"/>
  <c r="R29" i="11"/>
  <c r="R30" i="15" s="1"/>
  <c r="V40" i="13"/>
  <c r="U6" i="11"/>
  <c r="U7" i="11" s="1"/>
  <c r="T7" i="15"/>
  <c r="T6" i="11"/>
  <c r="T7" i="11" s="1"/>
  <c r="T71" i="41" s="1"/>
  <c r="T72" i="41" s="1"/>
  <c r="T8" i="15"/>
  <c r="U6" i="8"/>
  <c r="W42" i="8"/>
  <c r="V31" i="11" s="1"/>
  <c r="V4" i="8"/>
  <c r="V42" i="8"/>
  <c r="U31" i="11" s="1"/>
  <c r="T17" i="13"/>
  <c r="T19" i="13" s="1"/>
  <c r="S17" i="13"/>
  <c r="S19" i="13" s="1"/>
  <c r="I386" i="19"/>
  <c r="W14" i="11"/>
  <c r="W15" i="15" s="1"/>
  <c r="W16" i="11"/>
  <c r="W17" i="15" s="1"/>
  <c r="AH11" i="11"/>
  <c r="W13" i="11"/>
  <c r="W14" i="15" s="1"/>
  <c r="W15" i="11"/>
  <c r="W16" i="15" s="1"/>
  <c r="E51" i="32"/>
  <c r="C324" i="19"/>
  <c r="S17" i="11"/>
  <c r="S18" i="15" s="1"/>
  <c r="S19" i="11"/>
  <c r="S20" i="15" s="1"/>
  <c r="S21" i="11"/>
  <c r="S22" i="15" s="1"/>
  <c r="T25" i="8"/>
  <c r="S23" i="11" s="1"/>
  <c r="S24" i="15" s="1"/>
  <c r="T27" i="8"/>
  <c r="S25" i="11" s="1"/>
  <c r="S26" i="15" s="1"/>
  <c r="S18" i="11"/>
  <c r="S19" i="15" s="1"/>
  <c r="T24" i="8"/>
  <c r="S22" i="11" s="1"/>
  <c r="S23" i="15" s="1"/>
  <c r="U28" i="8"/>
  <c r="T26" i="11" s="1"/>
  <c r="T27" i="15" s="1"/>
  <c r="S20" i="11"/>
  <c r="S21" i="15" s="1"/>
  <c r="U26" i="8"/>
  <c r="T24" i="11" s="1"/>
  <c r="T25" i="15" s="1"/>
  <c r="J292" i="19"/>
  <c r="N71" i="41"/>
  <c r="N72" i="41" s="1"/>
  <c r="I236" i="19"/>
  <c r="J236" i="19" s="1"/>
  <c r="J255" i="19"/>
  <c r="C8" i="12"/>
  <c r="E60" i="56" s="1"/>
  <c r="AD27" i="41"/>
  <c r="D322" i="19"/>
  <c r="F49" i="32"/>
  <c r="F53" i="32"/>
  <c r="D326" i="19"/>
  <c r="J234" i="19"/>
  <c r="J252" i="19"/>
  <c r="J249" i="19"/>
  <c r="J251" i="19"/>
  <c r="J253" i="19"/>
  <c r="J250" i="19"/>
  <c r="R16" i="18"/>
  <c r="I245" i="19"/>
  <c r="J245" i="19" s="1"/>
  <c r="S15" i="18"/>
  <c r="I1" i="41" s="1"/>
  <c r="C316" i="19"/>
  <c r="D6" i="12"/>
  <c r="F58" i="56" s="1"/>
  <c r="E43" i="32"/>
  <c r="F50" i="32"/>
  <c r="D323" i="19"/>
  <c r="D325" i="19"/>
  <c r="F52" i="32"/>
  <c r="D314" i="19"/>
  <c r="J238" i="19"/>
  <c r="J237" i="19"/>
  <c r="J239" i="19"/>
  <c r="J380" i="19"/>
  <c r="I247" i="19"/>
  <c r="J247" i="19" s="1"/>
  <c r="Y15" i="13"/>
  <c r="Y16" i="13"/>
  <c r="U4" i="15"/>
  <c r="U5" i="15" s="1"/>
  <c r="U8" i="8"/>
  <c r="Z58" i="7"/>
  <c r="W4" i="8"/>
  <c r="V6" i="8"/>
  <c r="Z16" i="13"/>
  <c r="Z15" i="13"/>
  <c r="V5" i="11"/>
  <c r="AA14" i="13"/>
  <c r="W4" i="11"/>
  <c r="V8" i="8"/>
  <c r="Q32" i="8"/>
  <c r="Y69" i="22"/>
  <c r="V5" i="13"/>
  <c r="X103" i="22"/>
  <c r="R12" i="8" s="1"/>
  <c r="Q10" i="11" s="1"/>
  <c r="R11" i="15" s="1"/>
  <c r="C11" i="12"/>
  <c r="E63" i="56" s="1"/>
  <c r="J295" i="19"/>
  <c r="R18" i="18"/>
  <c r="W6" i="13"/>
  <c r="S12" i="15" s="1"/>
  <c r="F47" i="32"/>
  <c r="D320" i="19"/>
  <c r="U8" i="13"/>
  <c r="U7" i="13"/>
  <c r="Q36" i="15" s="1"/>
  <c r="V2" i="13"/>
  <c r="V3" i="13" s="1"/>
  <c r="W1" i="9"/>
  <c r="T51" i="13" l="1"/>
  <c r="T52" i="13" s="1"/>
  <c r="T53" i="13" s="1"/>
  <c r="T54" i="13" s="1"/>
  <c r="D324" i="19"/>
  <c r="F44" i="10"/>
  <c r="F104" i="56" s="1"/>
  <c r="E104" i="56"/>
  <c r="C33" i="12"/>
  <c r="F51" i="32"/>
  <c r="F55" i="32"/>
  <c r="C318" i="19"/>
  <c r="H5" i="51"/>
  <c r="I5" i="51" s="1"/>
  <c r="D5" i="12"/>
  <c r="F57" i="56" s="1"/>
  <c r="H3" i="51"/>
  <c r="W42" i="7"/>
  <c r="V4" i="7"/>
  <c r="V22" i="7" s="1"/>
  <c r="C315" i="19"/>
  <c r="E42" i="32"/>
  <c r="S5" i="18"/>
  <c r="U51" i="13"/>
  <c r="U52" i="13" s="1"/>
  <c r="U53" i="13" s="1"/>
  <c r="U54" i="13" s="1"/>
  <c r="V65" i="13" s="1"/>
  <c r="A57" i="43"/>
  <c r="B57" i="43" s="1"/>
  <c r="C56" i="43"/>
  <c r="D56" i="43" s="1"/>
  <c r="D328" i="19"/>
  <c r="Q37" i="15"/>
  <c r="R10" i="15"/>
  <c r="V70" i="13"/>
  <c r="V72" i="13" s="1"/>
  <c r="U71" i="13" s="1"/>
  <c r="V39" i="13"/>
  <c r="U65" i="13"/>
  <c r="W63" i="13"/>
  <c r="V58" i="13"/>
  <c r="W50" i="13"/>
  <c r="S11" i="8"/>
  <c r="U31" i="8"/>
  <c r="S29" i="11"/>
  <c r="S30" i="15" s="1"/>
  <c r="U29" i="8"/>
  <c r="S27" i="11"/>
  <c r="S28" i="15" s="1"/>
  <c r="U30" i="8"/>
  <c r="S28" i="11"/>
  <c r="S29" i="15" s="1"/>
  <c r="W40" i="13"/>
  <c r="V4" i="15"/>
  <c r="V5" i="15" s="1"/>
  <c r="U8" i="15"/>
  <c r="V6" i="11"/>
  <c r="V7" i="11" s="1"/>
  <c r="V8" i="15"/>
  <c r="U71" i="41"/>
  <c r="U72" i="41" s="1"/>
  <c r="X42" i="8"/>
  <c r="W31" i="11" s="1"/>
  <c r="V26" i="8"/>
  <c r="U24" i="11" s="1"/>
  <c r="U25" i="15" s="1"/>
  <c r="T20" i="11"/>
  <c r="T21" i="15" s="1"/>
  <c r="V28" i="8"/>
  <c r="U26" i="11" s="1"/>
  <c r="U27" i="15" s="1"/>
  <c r="U24" i="8"/>
  <c r="T22" i="11" s="1"/>
  <c r="T23" i="15" s="1"/>
  <c r="T18" i="11"/>
  <c r="T19" i="15" s="1"/>
  <c r="U27" i="8"/>
  <c r="T25" i="11" s="1"/>
  <c r="T26" i="15" s="1"/>
  <c r="U25" i="8"/>
  <c r="T23" i="11" s="1"/>
  <c r="T24" i="15" s="1"/>
  <c r="T21" i="11"/>
  <c r="T22" i="15" s="1"/>
  <c r="T19" i="11"/>
  <c r="T20" i="15" s="1"/>
  <c r="T17" i="11"/>
  <c r="T18" i="15" s="1"/>
  <c r="X15" i="11"/>
  <c r="X16" i="15" s="1"/>
  <c r="X13" i="11"/>
  <c r="X14" i="15" s="1"/>
  <c r="AI11" i="11"/>
  <c r="X16" i="11"/>
  <c r="X17" i="15" s="1"/>
  <c r="X14" i="11"/>
  <c r="X15" i="15" s="1"/>
  <c r="Z69" i="22"/>
  <c r="D8" i="12"/>
  <c r="F60" i="56" s="1"/>
  <c r="E131" i="56" s="1"/>
  <c r="AE5" i="41"/>
  <c r="AE66" i="41" s="1"/>
  <c r="AG5" i="41"/>
  <c r="AG66" i="41" s="1"/>
  <c r="AC5" i="41"/>
  <c r="AC66" i="41" s="1"/>
  <c r="AK5" i="41"/>
  <c r="AK66" i="41" s="1"/>
  <c r="AA5" i="41"/>
  <c r="AA66" i="41" s="1"/>
  <c r="AJ5" i="41"/>
  <c r="AJ66" i="41" s="1"/>
  <c r="Y5" i="41"/>
  <c r="Y66" i="41" s="1"/>
  <c r="AH5" i="41"/>
  <c r="AH66" i="41" s="1"/>
  <c r="AD5" i="41"/>
  <c r="AD66" i="41" s="1"/>
  <c r="X5" i="41"/>
  <c r="X66" i="41" s="1"/>
  <c r="Z5" i="41"/>
  <c r="Z66" i="41" s="1"/>
  <c r="AB5" i="41"/>
  <c r="AB66" i="41" s="1"/>
  <c r="AL5" i="41"/>
  <c r="AL66" i="41" s="1"/>
  <c r="AF5" i="41"/>
  <c r="AF66" i="41" s="1"/>
  <c r="AI5" i="41"/>
  <c r="AI66" i="41" s="1"/>
  <c r="E45" i="32"/>
  <c r="AE27" i="41"/>
  <c r="D316" i="19"/>
  <c r="F43" i="32"/>
  <c r="G7" i="20"/>
  <c r="J1" i="8"/>
  <c r="P1" i="22"/>
  <c r="J1" i="7"/>
  <c r="E119" i="19"/>
  <c r="U7" i="15"/>
  <c r="AB58" i="7"/>
  <c r="AA58" i="7"/>
  <c r="AA15" i="13"/>
  <c r="W5" i="11"/>
  <c r="AA16" i="13"/>
  <c r="X4" i="8"/>
  <c r="W8" i="8"/>
  <c r="E120" i="19"/>
  <c r="AB14" i="13"/>
  <c r="X4" i="11"/>
  <c r="W6" i="8"/>
  <c r="R32" i="8"/>
  <c r="I248" i="19"/>
  <c r="J248" i="19" s="1"/>
  <c r="S18" i="18"/>
  <c r="C321" i="19"/>
  <c r="E48" i="32"/>
  <c r="D11" i="12"/>
  <c r="F63" i="56" s="1"/>
  <c r="C34" i="12"/>
  <c r="Y103" i="22"/>
  <c r="S12" i="8" s="1"/>
  <c r="R10" i="11" s="1"/>
  <c r="S11" i="15" s="1"/>
  <c r="X6" i="13"/>
  <c r="T12" i="15" s="1"/>
  <c r="V8" i="13"/>
  <c r="V7" i="13"/>
  <c r="R36" i="15" s="1"/>
  <c r="W2" i="13"/>
  <c r="W3" i="13" s="1"/>
  <c r="X1" i="9"/>
  <c r="D315" i="19" l="1"/>
  <c r="G1" i="3"/>
  <c r="F42" i="32"/>
  <c r="I3" i="51"/>
  <c r="H4" i="51"/>
  <c r="X42" i="7"/>
  <c r="W4" i="7"/>
  <c r="W22" i="7" s="1"/>
  <c r="V51" i="13"/>
  <c r="V52" i="13" s="1"/>
  <c r="V53" i="13" s="1"/>
  <c r="V54" i="13" s="1"/>
  <c r="A58" i="43"/>
  <c r="B58" i="43" s="1"/>
  <c r="C57" i="43"/>
  <c r="D57" i="43" s="1"/>
  <c r="S10" i="15"/>
  <c r="W5" i="13"/>
  <c r="R37" i="15"/>
  <c r="W39" i="13"/>
  <c r="W70" i="13"/>
  <c r="W72" i="13" s="1"/>
  <c r="V71" i="13" s="1"/>
  <c r="X63" i="13"/>
  <c r="W58" i="13"/>
  <c r="X50" i="13"/>
  <c r="W4" i="15"/>
  <c r="W5" i="15" s="1"/>
  <c r="V7" i="15"/>
  <c r="T11" i="8"/>
  <c r="S9" i="11" s="1"/>
  <c r="V30" i="8"/>
  <c r="T28" i="11"/>
  <c r="T29" i="15" s="1"/>
  <c r="V29" i="8"/>
  <c r="T27" i="11"/>
  <c r="T28" i="15" s="1"/>
  <c r="V31" i="8"/>
  <c r="T29" i="11"/>
  <c r="T30" i="15" s="1"/>
  <c r="X40" i="13"/>
  <c r="D318" i="19"/>
  <c r="W6" i="11"/>
  <c r="W7" i="11" s="1"/>
  <c r="W8" i="15"/>
  <c r="Y42" i="8"/>
  <c r="X31" i="11" s="1"/>
  <c r="U17" i="11"/>
  <c r="U18" i="15" s="1"/>
  <c r="U19" i="11"/>
  <c r="U20" i="15" s="1"/>
  <c r="U21" i="11"/>
  <c r="U22" i="15" s="1"/>
  <c r="V25" i="8"/>
  <c r="U23" i="11" s="1"/>
  <c r="U24" i="15" s="1"/>
  <c r="V27" i="8"/>
  <c r="U25" i="11" s="1"/>
  <c r="U26" i="15" s="1"/>
  <c r="U18" i="11"/>
  <c r="U19" i="15" s="1"/>
  <c r="V24" i="8"/>
  <c r="U22" i="11" s="1"/>
  <c r="U23" i="15" s="1"/>
  <c r="W28" i="8"/>
  <c r="V26" i="11" s="1"/>
  <c r="V27" i="15" s="1"/>
  <c r="U20" i="11"/>
  <c r="U21" i="15" s="1"/>
  <c r="W26" i="8"/>
  <c r="V24" i="11" s="1"/>
  <c r="V25" i="15" s="1"/>
  <c r="U17" i="13"/>
  <c r="U19" i="13" s="1"/>
  <c r="Y14" i="11"/>
  <c r="Y15" i="15" s="1"/>
  <c r="Y16" i="11"/>
  <c r="Y17" i="15" s="1"/>
  <c r="AJ11" i="11"/>
  <c r="Y13" i="11"/>
  <c r="Y14" i="15" s="1"/>
  <c r="Y15" i="11"/>
  <c r="Y16" i="15" s="1"/>
  <c r="F45" i="32"/>
  <c r="AF27" i="41"/>
  <c r="G185" i="19"/>
  <c r="V71" i="41"/>
  <c r="V72" i="41" s="1"/>
  <c r="AD43" i="7"/>
  <c r="AD58" i="7" s="1"/>
  <c r="AB16" i="13"/>
  <c r="E121" i="19"/>
  <c r="X8" i="8"/>
  <c r="X6" i="8"/>
  <c r="Y4" i="8"/>
  <c r="AB15" i="13"/>
  <c r="X5" i="11"/>
  <c r="Z103" i="22"/>
  <c r="T12" i="8" s="1"/>
  <c r="S10" i="11" s="1"/>
  <c r="T11" i="15" s="1"/>
  <c r="F48" i="32"/>
  <c r="D321" i="19"/>
  <c r="AA69" i="22"/>
  <c r="R9" i="11"/>
  <c r="Y6" i="13"/>
  <c r="U12" i="15" s="1"/>
  <c r="W8" i="13"/>
  <c r="W7" i="13"/>
  <c r="S36" i="15" s="1"/>
  <c r="Y1" i="9"/>
  <c r="X2" i="13"/>
  <c r="X3" i="13" s="1"/>
  <c r="H8" i="51" l="1"/>
  <c r="I8" i="51" s="1"/>
  <c r="I4" i="51"/>
  <c r="Y42" i="7"/>
  <c r="X4" i="7"/>
  <c r="X22" i="7" s="1"/>
  <c r="E114" i="32"/>
  <c r="W51" i="13"/>
  <c r="W52" i="13" s="1"/>
  <c r="A59" i="43"/>
  <c r="B59" i="43" s="1"/>
  <c r="C58" i="43"/>
  <c r="D58" i="43" s="1"/>
  <c r="T10" i="15"/>
  <c r="X5" i="13"/>
  <c r="S37" i="15"/>
  <c r="W53" i="13"/>
  <c r="W54" i="13" s="1"/>
  <c r="X70" i="13"/>
  <c r="X72" i="13" s="1"/>
  <c r="W71" i="13" s="1"/>
  <c r="X39" i="13"/>
  <c r="Y63" i="13"/>
  <c r="X51" i="13"/>
  <c r="X52" i="13" s="1"/>
  <c r="X53" i="13" s="1"/>
  <c r="X54" i="13" s="1"/>
  <c r="X58" i="13"/>
  <c r="Y50" i="13"/>
  <c r="X4" i="15"/>
  <c r="X5" i="15" s="1"/>
  <c r="U11" i="8"/>
  <c r="W31" i="8"/>
  <c r="U29" i="11"/>
  <c r="U30" i="15" s="1"/>
  <c r="W29" i="8"/>
  <c r="U27" i="11"/>
  <c r="U28" i="15" s="1"/>
  <c r="W30" i="8"/>
  <c r="U28" i="11"/>
  <c r="U29" i="15" s="1"/>
  <c r="Y40" i="13"/>
  <c r="W7" i="15"/>
  <c r="X6" i="11"/>
  <c r="X7" i="11" s="1"/>
  <c r="X8" i="15"/>
  <c r="V17" i="13"/>
  <c r="V19" i="13" s="1"/>
  <c r="X26" i="8"/>
  <c r="W24" i="11" s="1"/>
  <c r="W25" i="15" s="1"/>
  <c r="V20" i="11"/>
  <c r="V21" i="15" s="1"/>
  <c r="X28" i="8"/>
  <c r="W26" i="11" s="1"/>
  <c r="W27" i="15" s="1"/>
  <c r="W24" i="8"/>
  <c r="V22" i="11" s="1"/>
  <c r="V23" i="15" s="1"/>
  <c r="V18" i="11"/>
  <c r="V19" i="15" s="1"/>
  <c r="W27" i="8"/>
  <c r="V25" i="11" s="1"/>
  <c r="V26" i="15" s="1"/>
  <c r="W25" i="8"/>
  <c r="V23" i="11" s="1"/>
  <c r="V24" i="15" s="1"/>
  <c r="V21" i="11"/>
  <c r="V22" i="15" s="1"/>
  <c r="V19" i="11"/>
  <c r="V20" i="15" s="1"/>
  <c r="V17" i="11"/>
  <c r="V18" i="15" s="1"/>
  <c r="Z15" i="11"/>
  <c r="Z16" i="15" s="1"/>
  <c r="Z13" i="11"/>
  <c r="Z14" i="15" s="1"/>
  <c r="AK11" i="11"/>
  <c r="Z16" i="11"/>
  <c r="Z17" i="15" s="1"/>
  <c r="Z14" i="11"/>
  <c r="Z15" i="15" s="1"/>
  <c r="Y5" i="13"/>
  <c r="AE2" i="9"/>
  <c r="Y4" i="11"/>
  <c r="AC58" i="7"/>
  <c r="AC14" i="13"/>
  <c r="W71" i="41"/>
  <c r="W72" i="41" s="1"/>
  <c r="AC16" i="13"/>
  <c r="Y6" i="8"/>
  <c r="E122" i="19"/>
  <c r="Y8" i="8"/>
  <c r="T32" i="8"/>
  <c r="S32" i="8"/>
  <c r="AA103" i="22"/>
  <c r="U12" i="8" s="1"/>
  <c r="T10" i="11" s="1"/>
  <c r="U11" i="15" s="1"/>
  <c r="AB69" i="22"/>
  <c r="Z6" i="13"/>
  <c r="V12" i="15" s="1"/>
  <c r="Y2" i="13"/>
  <c r="Y3" i="13" s="1"/>
  <c r="Z1" i="9"/>
  <c r="X7" i="13"/>
  <c r="T36" i="15" s="1"/>
  <c r="X8" i="13"/>
  <c r="Z42" i="7" l="1"/>
  <c r="Y4" i="7"/>
  <c r="Y22" i="7" s="1"/>
  <c r="AE132" i="9"/>
  <c r="AE149" i="9" s="1"/>
  <c r="AE67" i="9"/>
  <c r="A60" i="43"/>
  <c r="B60" i="43" s="1"/>
  <c r="C59" i="43"/>
  <c r="D59" i="43" s="1"/>
  <c r="T37" i="15"/>
  <c r="U10" i="15"/>
  <c r="AE18" i="9"/>
  <c r="AE50" i="9" s="1"/>
  <c r="AE34" i="9"/>
  <c r="AE58" i="7"/>
  <c r="Y39" i="13"/>
  <c r="Y70" i="13"/>
  <c r="Y72" i="13" s="1"/>
  <c r="X71" i="13" s="1"/>
  <c r="X65" i="13"/>
  <c r="Z63" i="13"/>
  <c r="Y58" i="13"/>
  <c r="Z50" i="13"/>
  <c r="Y51" i="13"/>
  <c r="Y52" i="13" s="1"/>
  <c r="AC69" i="22"/>
  <c r="V11" i="8"/>
  <c r="X30" i="8"/>
  <c r="V28" i="11"/>
  <c r="V29" i="15" s="1"/>
  <c r="X29" i="8"/>
  <c r="V27" i="11"/>
  <c r="V28" i="15" s="1"/>
  <c r="X31" i="8"/>
  <c r="V29" i="11"/>
  <c r="V30" i="15" s="1"/>
  <c r="Z40" i="13"/>
  <c r="X7" i="15"/>
  <c r="Y6" i="11"/>
  <c r="Y8" i="15"/>
  <c r="Z42" i="8"/>
  <c r="Y31" i="11" s="1"/>
  <c r="W17" i="11"/>
  <c r="W18" i="15" s="1"/>
  <c r="W19" i="11"/>
  <c r="W20" i="15" s="1"/>
  <c r="W21" i="11"/>
  <c r="W22" i="15" s="1"/>
  <c r="X25" i="8"/>
  <c r="W23" i="11" s="1"/>
  <c r="W24" i="15" s="1"/>
  <c r="X27" i="8"/>
  <c r="W25" i="11" s="1"/>
  <c r="W26" i="15" s="1"/>
  <c r="W18" i="11"/>
  <c r="W19" i="15" s="1"/>
  <c r="X24" i="8"/>
  <c r="W22" i="11" s="1"/>
  <c r="W23" i="15" s="1"/>
  <c r="Y28" i="8"/>
  <c r="X26" i="11" s="1"/>
  <c r="X27" i="15" s="1"/>
  <c r="W20" i="11"/>
  <c r="W21" i="15" s="1"/>
  <c r="Y26" i="8"/>
  <c r="X24" i="11" s="1"/>
  <c r="X25" i="15" s="1"/>
  <c r="W17" i="13"/>
  <c r="W19" i="13" s="1"/>
  <c r="AA14" i="11"/>
  <c r="AA15" i="15" s="1"/>
  <c r="AA16" i="11"/>
  <c r="AA17" i="15" s="1"/>
  <c r="AL11" i="11"/>
  <c r="AA13" i="11"/>
  <c r="AA14" i="15" s="1"/>
  <c r="AA15" i="11"/>
  <c r="AA16" i="15" s="1"/>
  <c r="AG27" i="41"/>
  <c r="AH27" i="41"/>
  <c r="G184" i="19"/>
  <c r="AD15" i="13"/>
  <c r="Z4" i="8"/>
  <c r="E123" i="19"/>
  <c r="Y5" i="11"/>
  <c r="AC15" i="13"/>
  <c r="Y4" i="15"/>
  <c r="Y5" i="15" s="1"/>
  <c r="Z4" i="11"/>
  <c r="AD14" i="13"/>
  <c r="AD23" i="13" s="1"/>
  <c r="AF2" i="9"/>
  <c r="X71" i="41"/>
  <c r="X72" i="41" s="1"/>
  <c r="Z8" i="8"/>
  <c r="AB103" i="22"/>
  <c r="V12" i="8" s="1"/>
  <c r="U10" i="11" s="1"/>
  <c r="V11" i="15" s="1"/>
  <c r="T9" i="11"/>
  <c r="AA6" i="13"/>
  <c r="W12" i="15" s="1"/>
  <c r="AA1" i="9"/>
  <c r="Z2" i="13"/>
  <c r="Z3" i="13" s="1"/>
  <c r="Y8" i="13"/>
  <c r="Y7" i="13"/>
  <c r="U36" i="15" s="1"/>
  <c r="AA42" i="7" l="1"/>
  <c r="Z4" i="7"/>
  <c r="Z22" i="7" s="1"/>
  <c r="AF132" i="9"/>
  <c r="AF67" i="9"/>
  <c r="A61" i="43"/>
  <c r="B61" i="43" s="1"/>
  <c r="C60" i="43"/>
  <c r="D60" i="43" s="1"/>
  <c r="Y7" i="11"/>
  <c r="Y71" i="41" s="1"/>
  <c r="Y72" i="41" s="1"/>
  <c r="V10" i="15"/>
  <c r="Z5" i="13"/>
  <c r="U37" i="15"/>
  <c r="AF149" i="9"/>
  <c r="AF18" i="9"/>
  <c r="AF50" i="9" s="1"/>
  <c r="AF34" i="9"/>
  <c r="AE99" i="9"/>
  <c r="AE83" i="9"/>
  <c r="AE115" i="9" s="1"/>
  <c r="AE17" i="9"/>
  <c r="AA4" i="11" s="1"/>
  <c r="AE19" i="9"/>
  <c r="AE35" i="9"/>
  <c r="AE49" i="9" s="1"/>
  <c r="AE14" i="13" s="1"/>
  <c r="AF58" i="7"/>
  <c r="AA63" i="13"/>
  <c r="Z51" i="13"/>
  <c r="Z52" i="13" s="1"/>
  <c r="Z58" i="13"/>
  <c r="AA50" i="13"/>
  <c r="Z70" i="13"/>
  <c r="Z72" i="13" s="1"/>
  <c r="Y71" i="13" s="1"/>
  <c r="Z39" i="13"/>
  <c r="Y53" i="13"/>
  <c r="Y54" i="13" s="1"/>
  <c r="G190" i="19"/>
  <c r="G188" i="19"/>
  <c r="W11" i="8"/>
  <c r="Y31" i="8"/>
  <c r="W29" i="11"/>
  <c r="W30" i="15" s="1"/>
  <c r="Y29" i="8"/>
  <c r="W27" i="11"/>
  <c r="W28" i="15" s="1"/>
  <c r="Y30" i="8"/>
  <c r="W28" i="11"/>
  <c r="W29" i="15" s="1"/>
  <c r="AA40" i="13"/>
  <c r="Y7" i="15"/>
  <c r="Z6" i="11"/>
  <c r="E6" i="12" s="1"/>
  <c r="G58" i="56" s="1"/>
  <c r="AA4" i="8"/>
  <c r="AA42" i="8"/>
  <c r="Z31" i="11" s="1"/>
  <c r="F28" i="10" s="1"/>
  <c r="Z26" i="8"/>
  <c r="Y24" i="11" s="1"/>
  <c r="Y25" i="15" s="1"/>
  <c r="X20" i="11"/>
  <c r="X21" i="15" s="1"/>
  <c r="Z28" i="8"/>
  <c r="Y26" i="11" s="1"/>
  <c r="Y27" i="15" s="1"/>
  <c r="Y24" i="8"/>
  <c r="X22" i="11" s="1"/>
  <c r="X23" i="15" s="1"/>
  <c r="X18" i="11"/>
  <c r="X19" i="15" s="1"/>
  <c r="Y27" i="8"/>
  <c r="X25" i="11" s="1"/>
  <c r="X26" i="15" s="1"/>
  <c r="Y25" i="8"/>
  <c r="X23" i="11" s="1"/>
  <c r="X24" i="15" s="1"/>
  <c r="X21" i="11"/>
  <c r="X22" i="15" s="1"/>
  <c r="X19" i="11"/>
  <c r="X20" i="15" s="1"/>
  <c r="X17" i="11"/>
  <c r="X18" i="15" s="1"/>
  <c r="X17" i="13"/>
  <c r="X19" i="13" s="1"/>
  <c r="AB15" i="11"/>
  <c r="AB16" i="15" s="1"/>
  <c r="AB13" i="11"/>
  <c r="AB14" i="15" s="1"/>
  <c r="AB16" i="11"/>
  <c r="AB17" i="15" s="1"/>
  <c r="AB14" i="11"/>
  <c r="AB15" i="15" s="1"/>
  <c r="AA5" i="13"/>
  <c r="AD69" i="22"/>
  <c r="Z5" i="11"/>
  <c r="Z4" i="15"/>
  <c r="F110" i="56" s="1"/>
  <c r="Z6" i="8"/>
  <c r="AD16" i="13"/>
  <c r="AG2" i="9"/>
  <c r="AA8" i="8"/>
  <c r="U9" i="11"/>
  <c r="U32" i="8"/>
  <c r="AC103" i="22"/>
  <c r="W12" i="8" s="1"/>
  <c r="V10" i="11" s="1"/>
  <c r="W11" i="15" s="1"/>
  <c r="AB6" i="13"/>
  <c r="X12" i="15" s="1"/>
  <c r="Z8" i="13"/>
  <c r="Z7" i="13"/>
  <c r="V36" i="15" s="1"/>
  <c r="AA2" i="13"/>
  <c r="AA3" i="13" s="1"/>
  <c r="AB1" i="9"/>
  <c r="Z5" i="15" l="1"/>
  <c r="F111" i="56" s="1"/>
  <c r="AB42" i="7"/>
  <c r="AA4" i="7"/>
  <c r="AA22" i="7" s="1"/>
  <c r="AG132" i="9"/>
  <c r="AG67" i="9"/>
  <c r="A62" i="43"/>
  <c r="B62" i="43" s="1"/>
  <c r="C61" i="43"/>
  <c r="D61" i="43" s="1"/>
  <c r="Z7" i="11"/>
  <c r="V37" i="15"/>
  <c r="W10" i="15"/>
  <c r="AG34" i="9"/>
  <c r="AG149" i="9"/>
  <c r="AG18" i="9"/>
  <c r="AG50" i="9" s="1"/>
  <c r="AF83" i="9"/>
  <c r="AF115" i="9" s="1"/>
  <c r="AF99" i="9"/>
  <c r="AE51" i="9"/>
  <c r="AE65" i="9" s="1"/>
  <c r="AE33" i="9"/>
  <c r="AE82" i="9"/>
  <c r="AB6" i="8" s="1"/>
  <c r="AE84" i="9"/>
  <c r="AE100" i="9"/>
  <c r="AE114" i="9" s="1"/>
  <c r="AE15" i="13" s="1"/>
  <c r="AG58" i="7"/>
  <c r="AF19" i="9"/>
  <c r="AF35" i="9"/>
  <c r="AF49" i="9" s="1"/>
  <c r="AF14" i="13" s="1"/>
  <c r="AF17" i="9"/>
  <c r="AB4" i="11" s="1"/>
  <c r="AE150" i="9"/>
  <c r="AE163" i="9" s="1"/>
  <c r="AE16" i="13" s="1"/>
  <c r="AE147" i="9"/>
  <c r="AB8" i="8" s="1"/>
  <c r="G189" i="19"/>
  <c r="AA39" i="13"/>
  <c r="AA70" i="13"/>
  <c r="AA72" i="13" s="1"/>
  <c r="Z71" i="13" s="1"/>
  <c r="AB63" i="13"/>
  <c r="AA51" i="13"/>
  <c r="AA52" i="13" s="1"/>
  <c r="AA58" i="13"/>
  <c r="AB50" i="13"/>
  <c r="Z53" i="13"/>
  <c r="Z54" i="13" s="1"/>
  <c r="X11" i="8"/>
  <c r="W9" i="11" s="1"/>
  <c r="Z30" i="8"/>
  <c r="X28" i="11"/>
  <c r="X29" i="15" s="1"/>
  <c r="Z29" i="8"/>
  <c r="X27" i="11"/>
  <c r="X28" i="15" s="1"/>
  <c r="Z31" i="8"/>
  <c r="X29" i="11"/>
  <c r="X30" i="15" s="1"/>
  <c r="AB40" i="13"/>
  <c r="Z8" i="15"/>
  <c r="AB42" i="8"/>
  <c r="AA31" i="11" s="1"/>
  <c r="G113" i="19"/>
  <c r="AA6" i="8"/>
  <c r="Y17" i="13"/>
  <c r="Y19" i="13" s="1"/>
  <c r="Y17" i="11"/>
  <c r="Y18" i="15" s="1"/>
  <c r="Y19" i="11"/>
  <c r="Y20" i="15" s="1"/>
  <c r="Y21" i="11"/>
  <c r="Y22" i="15" s="1"/>
  <c r="Z25" i="8"/>
  <c r="Y23" i="11" s="1"/>
  <c r="Y24" i="15" s="1"/>
  <c r="Z27" i="8"/>
  <c r="Y25" i="11" s="1"/>
  <c r="Y26" i="15" s="1"/>
  <c r="Y18" i="11"/>
  <c r="Y19" i="15" s="1"/>
  <c r="Z24" i="8"/>
  <c r="Y22" i="11" s="1"/>
  <c r="Y23" i="15" s="1"/>
  <c r="AA28" i="8"/>
  <c r="Z26" i="11" s="1"/>
  <c r="Z27" i="15" s="1"/>
  <c r="Y20" i="11"/>
  <c r="Y21" i="15" s="1"/>
  <c r="AA26" i="8"/>
  <c r="Z24" i="11" s="1"/>
  <c r="Z25" i="15" s="1"/>
  <c r="AC14" i="11"/>
  <c r="AC15" i="15" s="1"/>
  <c r="AC16" i="11"/>
  <c r="AC17" i="15" s="1"/>
  <c r="AC13" i="11"/>
  <c r="AC14" i="15" s="1"/>
  <c r="AC15" i="11"/>
  <c r="AC16" i="15" s="1"/>
  <c r="E18" i="12"/>
  <c r="G70" i="56" s="1"/>
  <c r="AI27" i="41"/>
  <c r="AJ27" i="41"/>
  <c r="AB4" i="8"/>
  <c r="E4" i="12"/>
  <c r="G56" i="56" s="1"/>
  <c r="AH2" i="9"/>
  <c r="E124" i="19"/>
  <c r="E125" i="19" s="1"/>
  <c r="F123" i="19" s="1"/>
  <c r="G43" i="32"/>
  <c r="E316" i="19"/>
  <c r="AD103" i="22"/>
  <c r="X12" i="8" s="1"/>
  <c r="W10" i="11" s="1"/>
  <c r="X11" i="15" s="1"/>
  <c r="AE69" i="22"/>
  <c r="V9" i="11"/>
  <c r="V32" i="8"/>
  <c r="G182" i="19"/>
  <c r="AC6" i="13"/>
  <c r="Y12" i="15" s="1"/>
  <c r="AA7" i="13"/>
  <c r="W36" i="15" s="1"/>
  <c r="AA8" i="13"/>
  <c r="AB2" i="13"/>
  <c r="AB3" i="13" s="1"/>
  <c r="AC1" i="9"/>
  <c r="F96" i="32" l="1"/>
  <c r="F128" i="56"/>
  <c r="F129" i="56" s="1"/>
  <c r="F136" i="56"/>
  <c r="E328" i="19"/>
  <c r="E314" i="19"/>
  <c r="J2" i="51"/>
  <c r="AC42" i="7"/>
  <c r="AB4" i="7"/>
  <c r="AB22" i="7" s="1"/>
  <c r="AA53" i="13"/>
  <c r="AA54" i="13" s="1"/>
  <c r="AH132" i="9"/>
  <c r="AH149" i="9" s="1"/>
  <c r="AH67" i="9"/>
  <c r="A63" i="43"/>
  <c r="B63" i="43" s="1"/>
  <c r="C62" i="43"/>
  <c r="D62" i="43" s="1"/>
  <c r="X10" i="15"/>
  <c r="AB5" i="13"/>
  <c r="W37" i="15"/>
  <c r="AA8" i="15"/>
  <c r="AA4" i="15"/>
  <c r="AA6" i="11"/>
  <c r="AH18" i="9"/>
  <c r="AH50" i="9" s="1"/>
  <c r="AH34" i="9"/>
  <c r="AG83" i="9"/>
  <c r="AG115" i="9" s="1"/>
  <c r="AG99" i="9"/>
  <c r="AE165" i="9"/>
  <c r="AH58" i="7"/>
  <c r="AF51" i="9"/>
  <c r="AF65" i="9" s="1"/>
  <c r="AF33" i="9"/>
  <c r="AF150" i="9"/>
  <c r="AF163" i="9" s="1"/>
  <c r="AF16" i="13" s="1"/>
  <c r="AF147" i="9"/>
  <c r="AB6" i="11" s="1"/>
  <c r="AE116" i="9"/>
  <c r="AE130" i="9" s="1"/>
  <c r="AE98" i="9"/>
  <c r="AF84" i="9"/>
  <c r="AF100" i="9"/>
  <c r="AF114" i="9" s="1"/>
  <c r="AF15" i="13" s="1"/>
  <c r="AF82" i="9"/>
  <c r="AC6" i="8" s="1"/>
  <c r="AG19" i="9"/>
  <c r="AG35" i="9"/>
  <c r="AG49" i="9" s="1"/>
  <c r="AG14" i="13" s="1"/>
  <c r="AG17" i="9"/>
  <c r="AC4" i="11" s="1"/>
  <c r="AE168" i="9"/>
  <c r="AA5" i="11"/>
  <c r="G187" i="19"/>
  <c r="AC63" i="13"/>
  <c r="AB51" i="13"/>
  <c r="AB52" i="13" s="1"/>
  <c r="AB58" i="13"/>
  <c r="AC50" i="13"/>
  <c r="AB70" i="13"/>
  <c r="AB72" i="13" s="1"/>
  <c r="AA71" i="13" s="1"/>
  <c r="AB39" i="13"/>
  <c r="G55" i="32"/>
  <c r="Y11" i="8"/>
  <c r="AA31" i="8"/>
  <c r="Y29" i="11"/>
  <c r="Y30" i="15" s="1"/>
  <c r="AA29" i="8"/>
  <c r="Y27" i="11"/>
  <c r="Y28" i="15" s="1"/>
  <c r="AA30" i="8"/>
  <c r="Y28" i="11"/>
  <c r="Y29" i="15" s="1"/>
  <c r="AC40" i="13"/>
  <c r="G181" i="19"/>
  <c r="Z7" i="15"/>
  <c r="F95" i="32"/>
  <c r="E5" i="12"/>
  <c r="G57" i="56" s="1"/>
  <c r="AC4" i="8"/>
  <c r="AC42" i="8"/>
  <c r="AB31" i="11" s="1"/>
  <c r="Z17" i="13"/>
  <c r="Z19" i="13" s="1"/>
  <c r="AA17" i="13"/>
  <c r="AA19" i="13" s="1"/>
  <c r="AD15" i="11"/>
  <c r="AD16" i="15" s="1"/>
  <c r="AD13" i="11"/>
  <c r="AD14" i="15" s="1"/>
  <c r="AD16" i="11"/>
  <c r="AD17" i="15" s="1"/>
  <c r="AD14" i="11"/>
  <c r="AD15" i="15" s="1"/>
  <c r="AB26" i="8"/>
  <c r="AA24" i="11" s="1"/>
  <c r="AA25" i="15" s="1"/>
  <c r="Z20" i="11"/>
  <c r="Z21" i="15" s="1"/>
  <c r="AB28" i="8"/>
  <c r="AA26" i="11" s="1"/>
  <c r="AA27" i="15" s="1"/>
  <c r="AA24" i="8"/>
  <c r="Z22" i="11" s="1"/>
  <c r="Z23" i="15" s="1"/>
  <c r="Z18" i="11"/>
  <c r="Z19" i="15" s="1"/>
  <c r="AA27" i="8"/>
  <c r="Z25" i="11" s="1"/>
  <c r="Z26" i="15" s="1"/>
  <c r="AA25" i="8"/>
  <c r="Z23" i="11" s="1"/>
  <c r="Z24" i="15" s="1"/>
  <c r="Z21" i="11"/>
  <c r="Z22" i="15" s="1"/>
  <c r="Z19" i="11"/>
  <c r="Z20" i="15" s="1"/>
  <c r="Z17" i="11"/>
  <c r="Z18" i="15" s="1"/>
  <c r="X32" i="8"/>
  <c r="AL27" i="41"/>
  <c r="G191" i="19"/>
  <c r="F18" i="12"/>
  <c r="H70" i="56" s="1"/>
  <c r="G41" i="32"/>
  <c r="F6" i="12"/>
  <c r="H58" i="56" s="1"/>
  <c r="F4" i="12"/>
  <c r="H56" i="56" s="1"/>
  <c r="F121" i="19"/>
  <c r="F125" i="19"/>
  <c r="F119" i="19"/>
  <c r="F122" i="19"/>
  <c r="F118" i="19"/>
  <c r="F116" i="19"/>
  <c r="F114" i="19"/>
  <c r="F117" i="19"/>
  <c r="F120" i="19"/>
  <c r="F124" i="19"/>
  <c r="F115" i="19"/>
  <c r="F113" i="19"/>
  <c r="G114" i="19"/>
  <c r="AI2" i="9"/>
  <c r="W32" i="8"/>
  <c r="AB7" i="13"/>
  <c r="X36" i="15" s="1"/>
  <c r="G183" i="19"/>
  <c r="AF69" i="22"/>
  <c r="AE103" i="22"/>
  <c r="Y12" i="8" s="1"/>
  <c r="X10" i="11" s="1"/>
  <c r="Y11" i="15" s="1"/>
  <c r="AD6" i="13"/>
  <c r="Z12" i="15" s="1"/>
  <c r="AB8" i="13"/>
  <c r="AC2" i="13"/>
  <c r="AC3" i="13" s="1"/>
  <c r="AD1" i="9"/>
  <c r="F111" i="32" l="1"/>
  <c r="F112" i="32" s="1"/>
  <c r="G119" i="32"/>
  <c r="H55" i="32"/>
  <c r="F314" i="19"/>
  <c r="H43" i="32"/>
  <c r="AA5" i="15"/>
  <c r="K2" i="51"/>
  <c r="E315" i="19"/>
  <c r="J3" i="51"/>
  <c r="K3" i="51" s="1"/>
  <c r="AE42" i="7"/>
  <c r="AC4" i="7"/>
  <c r="AC22" i="7" s="1"/>
  <c r="AA7" i="11"/>
  <c r="AA71" i="41" s="1"/>
  <c r="AA72" i="41" s="1"/>
  <c r="AI132" i="9"/>
  <c r="AI149" i="9" s="1"/>
  <c r="AI67" i="9"/>
  <c r="A64" i="43"/>
  <c r="B64" i="43" s="1"/>
  <c r="C63" i="43"/>
  <c r="D63" i="43" s="1"/>
  <c r="AC8" i="8"/>
  <c r="Y10" i="15"/>
  <c r="AC5" i="13"/>
  <c r="X37" i="15"/>
  <c r="AE166" i="9"/>
  <c r="AB4" i="15"/>
  <c r="AB5" i="15" s="1"/>
  <c r="AI34" i="9"/>
  <c r="AI18" i="9"/>
  <c r="AI50" i="9" s="1"/>
  <c r="AH83" i="9"/>
  <c r="AH115" i="9" s="1"/>
  <c r="AH99" i="9"/>
  <c r="G42" i="32"/>
  <c r="AF165" i="9"/>
  <c r="AG100" i="9"/>
  <c r="AG114" i="9" s="1"/>
  <c r="AG15" i="13" s="1"/>
  <c r="AG84" i="9"/>
  <c r="AG82" i="9"/>
  <c r="AC5" i="11" s="1"/>
  <c r="AF168" i="9"/>
  <c r="AB5" i="11"/>
  <c r="AB7" i="11" s="1"/>
  <c r="AB71" i="41" s="1"/>
  <c r="AB72" i="41" s="1"/>
  <c r="AF116" i="9"/>
  <c r="AF130" i="9" s="1"/>
  <c r="AF98" i="9"/>
  <c r="AH19" i="9"/>
  <c r="AH35" i="9"/>
  <c r="AH49" i="9" s="1"/>
  <c r="AH14" i="13" s="1"/>
  <c r="AH17" i="9"/>
  <c r="AD4" i="11" s="1"/>
  <c r="AI19" i="9"/>
  <c r="AI35" i="9"/>
  <c r="AI17" i="9"/>
  <c r="AE4" i="11" s="1"/>
  <c r="AG51" i="9"/>
  <c r="AG65" i="9" s="1"/>
  <c r="AG33" i="9"/>
  <c r="AG150" i="9"/>
  <c r="AG163" i="9" s="1"/>
  <c r="AG16" i="13" s="1"/>
  <c r="AG147" i="9"/>
  <c r="AC6" i="11" s="1"/>
  <c r="AD63" i="13"/>
  <c r="AC51" i="13"/>
  <c r="AC52" i="13" s="1"/>
  <c r="AC58" i="13"/>
  <c r="AD50" i="13"/>
  <c r="AB53" i="13"/>
  <c r="AB54" i="13" s="1"/>
  <c r="AC39" i="13"/>
  <c r="AC70" i="13"/>
  <c r="AC72" i="13" s="1"/>
  <c r="AB71" i="13" s="1"/>
  <c r="G192" i="19"/>
  <c r="Z11" i="8"/>
  <c r="Y9" i="11" s="1"/>
  <c r="AB30" i="8"/>
  <c r="Z28" i="11"/>
  <c r="Z29" i="15" s="1"/>
  <c r="AB29" i="8"/>
  <c r="Z27" i="11"/>
  <c r="Z28" i="15" s="1"/>
  <c r="AB31" i="8"/>
  <c r="Z29" i="11"/>
  <c r="Z30" i="15" s="1"/>
  <c r="AD40" i="13"/>
  <c r="AB8" i="15"/>
  <c r="AA7" i="15"/>
  <c r="F5" i="12"/>
  <c r="H57" i="56" s="1"/>
  <c r="AD42" i="8"/>
  <c r="AC31" i="11" s="1"/>
  <c r="G115" i="19"/>
  <c r="AE14" i="11"/>
  <c r="AE15" i="15" s="1"/>
  <c r="AE16" i="11"/>
  <c r="AE17" i="15" s="1"/>
  <c r="AE13" i="11"/>
  <c r="AE14" i="15" s="1"/>
  <c r="AE15" i="11"/>
  <c r="AE16" i="15" s="1"/>
  <c r="AA17" i="11"/>
  <c r="AA18" i="15" s="1"/>
  <c r="AA19" i="11"/>
  <c r="AA20" i="15" s="1"/>
  <c r="AA21" i="11"/>
  <c r="AA22" i="15" s="1"/>
  <c r="AB25" i="8"/>
  <c r="AA23" i="11" s="1"/>
  <c r="AA24" i="15" s="1"/>
  <c r="AB27" i="8"/>
  <c r="AA25" i="11" s="1"/>
  <c r="AA26" i="15" s="1"/>
  <c r="AA18" i="11"/>
  <c r="AA19" i="15" s="1"/>
  <c r="AB24" i="8"/>
  <c r="AA22" i="11" s="1"/>
  <c r="AA23" i="15" s="1"/>
  <c r="AC28" i="8"/>
  <c r="AB26" i="11" s="1"/>
  <c r="AB27" i="15" s="1"/>
  <c r="AA20" i="11"/>
  <c r="AA21" i="15" s="1"/>
  <c r="AC26" i="8"/>
  <c r="AB24" i="11" s="1"/>
  <c r="AB25" i="15" s="1"/>
  <c r="AK27" i="41"/>
  <c r="AG69" i="22"/>
  <c r="E8" i="12"/>
  <c r="G60" i="56" s="1"/>
  <c r="Z71" i="41"/>
  <c r="Z72" i="41" s="1"/>
  <c r="AD4" i="8"/>
  <c r="F328" i="19"/>
  <c r="F316" i="19"/>
  <c r="H41" i="32"/>
  <c r="AI58" i="7"/>
  <c r="AJ2" i="9"/>
  <c r="E15" i="12"/>
  <c r="G67" i="56" s="1"/>
  <c r="AF103" i="22"/>
  <c r="Z12" i="8" s="1"/>
  <c r="Y10" i="11" s="1"/>
  <c r="Z11" i="15" s="1"/>
  <c r="X9" i="11"/>
  <c r="AE6" i="13"/>
  <c r="AA12" i="15" s="1"/>
  <c r="E12" i="12"/>
  <c r="G64" i="56" s="1"/>
  <c r="AC8" i="13"/>
  <c r="AC7" i="13"/>
  <c r="Y36" i="15" s="1"/>
  <c r="AE1" i="9"/>
  <c r="AD2" i="13"/>
  <c r="AD3" i="13" s="1"/>
  <c r="J6" i="51" l="1"/>
  <c r="K6" i="51" s="1"/>
  <c r="F8" i="12"/>
  <c r="F315" i="19"/>
  <c r="J4" i="51"/>
  <c r="AF42" i="7"/>
  <c r="AE4" i="7"/>
  <c r="AE22" i="7" s="1"/>
  <c r="E16" i="12"/>
  <c r="G68" i="56" s="1"/>
  <c r="AI49" i="9"/>
  <c r="AI14" i="13" s="1"/>
  <c r="AJ132" i="9"/>
  <c r="AJ149" i="9" s="1"/>
  <c r="AJ67" i="9"/>
  <c r="AD8" i="8"/>
  <c r="A65" i="43"/>
  <c r="B65" i="43" s="1"/>
  <c r="C64" i="43"/>
  <c r="D64" i="43" s="1"/>
  <c r="Z10" i="15"/>
  <c r="AD5" i="13"/>
  <c r="Y37" i="15"/>
  <c r="AJ18" i="9"/>
  <c r="AJ50" i="9" s="1"/>
  <c r="AJ34" i="9"/>
  <c r="AI83" i="9"/>
  <c r="AI115" i="9" s="1"/>
  <c r="AI99" i="9"/>
  <c r="AB7" i="15"/>
  <c r="AG165" i="9"/>
  <c r="AC4" i="15"/>
  <c r="AC5" i="15" s="1"/>
  <c r="AF166" i="9"/>
  <c r="AJ58" i="7"/>
  <c r="AC8" i="15"/>
  <c r="AI51" i="9"/>
  <c r="AI65" i="9" s="1"/>
  <c r="AI33" i="9"/>
  <c r="AI150" i="9"/>
  <c r="AI163" i="9" s="1"/>
  <c r="AI16" i="13" s="1"/>
  <c r="AI147" i="9"/>
  <c r="AH84" i="9"/>
  <c r="AH100" i="9"/>
  <c r="AH114" i="9" s="1"/>
  <c r="AH15" i="13" s="1"/>
  <c r="AH82" i="9"/>
  <c r="AD5" i="11" s="1"/>
  <c r="AG116" i="9"/>
  <c r="AG130" i="9" s="1"/>
  <c r="AG98" i="9"/>
  <c r="AI84" i="9"/>
  <c r="AI100" i="9"/>
  <c r="AI82" i="9"/>
  <c r="AE5" i="11" s="1"/>
  <c r="AH51" i="9"/>
  <c r="AH65" i="9" s="1"/>
  <c r="AH33" i="9"/>
  <c r="AH150" i="9"/>
  <c r="AH163" i="9" s="1"/>
  <c r="AH16" i="13" s="1"/>
  <c r="AH147" i="9"/>
  <c r="AE8" i="8" s="1"/>
  <c r="AG168" i="9"/>
  <c r="AD70" i="13"/>
  <c r="AD72" i="13" s="1"/>
  <c r="AC71" i="13" s="1"/>
  <c r="AD39" i="13"/>
  <c r="AC7" i="11"/>
  <c r="AC71" i="41" s="1"/>
  <c r="AC72" i="41" s="1"/>
  <c r="AE63" i="13"/>
  <c r="AD58" i="13"/>
  <c r="AD51" i="13"/>
  <c r="AD52" i="13" s="1"/>
  <c r="AE50" i="13"/>
  <c r="AC53" i="13"/>
  <c r="AC54" i="13" s="1"/>
  <c r="AA11" i="8"/>
  <c r="AC31" i="8"/>
  <c r="AA29" i="11"/>
  <c r="AA30" i="15" s="1"/>
  <c r="AC29" i="8"/>
  <c r="AA27" i="11"/>
  <c r="AA28" i="15" s="1"/>
  <c r="AC30" i="8"/>
  <c r="AA28" i="11"/>
  <c r="AA29" i="15" s="1"/>
  <c r="AE40" i="13"/>
  <c r="H42" i="32"/>
  <c r="AF42" i="8"/>
  <c r="AE31" i="11" s="1"/>
  <c r="AE4" i="8"/>
  <c r="AE42" i="8"/>
  <c r="AD31" i="11" s="1"/>
  <c r="AB17" i="13"/>
  <c r="AB19" i="13" s="1"/>
  <c r="AD26" i="8"/>
  <c r="AC24" i="11" s="1"/>
  <c r="AC25" i="15" s="1"/>
  <c r="AB20" i="11"/>
  <c r="AB21" i="15" s="1"/>
  <c r="AD28" i="8"/>
  <c r="AC26" i="11" s="1"/>
  <c r="AC27" i="15" s="1"/>
  <c r="AC24" i="8"/>
  <c r="AB22" i="11" s="1"/>
  <c r="AB23" i="15" s="1"/>
  <c r="AB18" i="11"/>
  <c r="AB19" i="15" s="1"/>
  <c r="AC27" i="8"/>
  <c r="AB25" i="11" s="1"/>
  <c r="AB26" i="15" s="1"/>
  <c r="AC25" i="8"/>
  <c r="AB23" i="11" s="1"/>
  <c r="AB24" i="15" s="1"/>
  <c r="AB21" i="11"/>
  <c r="AB22" i="15" s="1"/>
  <c r="AB19" i="11"/>
  <c r="AB20" i="15" s="1"/>
  <c r="AB17" i="11"/>
  <c r="AB18" i="15" s="1"/>
  <c r="AF15" i="11"/>
  <c r="AF16" i="15" s="1"/>
  <c r="AF13" i="11"/>
  <c r="AF14" i="15" s="1"/>
  <c r="AF16" i="11"/>
  <c r="AF17" i="15" s="1"/>
  <c r="AF14" i="11"/>
  <c r="AF15" i="15" s="1"/>
  <c r="G45" i="32"/>
  <c r="E318" i="19"/>
  <c r="AE5" i="13"/>
  <c r="AD6" i="8"/>
  <c r="AK2" i="9"/>
  <c r="AF4" i="8"/>
  <c r="Z32" i="8"/>
  <c r="E325" i="19"/>
  <c r="G52" i="32"/>
  <c r="F15" i="12"/>
  <c r="H67" i="56" s="1"/>
  <c r="AH69" i="22"/>
  <c r="Y32" i="8"/>
  <c r="AG103" i="22"/>
  <c r="AA12" i="8" s="1"/>
  <c r="E322" i="19"/>
  <c r="G49" i="32"/>
  <c r="F12" i="12"/>
  <c r="H64" i="56" s="1"/>
  <c r="AF6" i="13"/>
  <c r="AB12" i="15" s="1"/>
  <c r="AE2" i="13"/>
  <c r="AE3" i="13" s="1"/>
  <c r="AE70" i="13" s="1"/>
  <c r="AE72" i="13" s="1"/>
  <c r="AD71" i="13" s="1"/>
  <c r="AF1" i="9"/>
  <c r="AD7" i="13"/>
  <c r="Z36" i="15" s="1"/>
  <c r="AD8" i="13"/>
  <c r="F16" i="12" l="1"/>
  <c r="H68" i="56" s="1"/>
  <c r="E326" i="19"/>
  <c r="G53" i="32"/>
  <c r="F318" i="19"/>
  <c r="H60" i="56"/>
  <c r="F131" i="56" s="1"/>
  <c r="H45" i="32"/>
  <c r="F114" i="32" s="1"/>
  <c r="K4" i="51"/>
  <c r="AG42" i="7"/>
  <c r="AF4" i="7"/>
  <c r="AF22" i="7" s="1"/>
  <c r="AD6" i="11"/>
  <c r="AD7" i="11" s="1"/>
  <c r="AD71" i="41" s="1"/>
  <c r="AD72" i="41" s="1"/>
  <c r="AD53" i="13"/>
  <c r="AD54" i="13" s="1"/>
  <c r="AK132" i="9"/>
  <c r="AK149" i="9" s="1"/>
  <c r="AK67" i="9"/>
  <c r="AD73" i="13"/>
  <c r="A66" i="43"/>
  <c r="B66" i="43" s="1"/>
  <c r="C65" i="43"/>
  <c r="D65" i="43" s="1"/>
  <c r="AI114" i="9"/>
  <c r="AI15" i="13" s="1"/>
  <c r="Z37" i="15"/>
  <c r="AA10" i="15"/>
  <c r="AC7" i="15"/>
  <c r="AK34" i="9"/>
  <c r="AK18" i="9"/>
  <c r="AK50" i="9" s="1"/>
  <c r="AJ99" i="9"/>
  <c r="AJ83" i="9"/>
  <c r="AJ115" i="9" s="1"/>
  <c r="AI165" i="9"/>
  <c r="AD4" i="15"/>
  <c r="AD5" i="15" s="1"/>
  <c r="AG166" i="9"/>
  <c r="AH165" i="9"/>
  <c r="AK58" i="7"/>
  <c r="AI168" i="9"/>
  <c r="AI116" i="9"/>
  <c r="AI130" i="9" s="1"/>
  <c r="AI98" i="9"/>
  <c r="AH168" i="9"/>
  <c r="AH116" i="9"/>
  <c r="AH130" i="9" s="1"/>
  <c r="AH98" i="9"/>
  <c r="AJ19" i="9"/>
  <c r="AJ35" i="9"/>
  <c r="AJ49" i="9" s="1"/>
  <c r="AJ14" i="13" s="1"/>
  <c r="AJ17" i="9"/>
  <c r="AF4" i="11" s="1"/>
  <c r="AE39" i="13"/>
  <c r="AF63" i="13"/>
  <c r="AE58" i="13"/>
  <c r="AF50" i="13"/>
  <c r="AE51" i="13"/>
  <c r="AE52" i="13" s="1"/>
  <c r="AB11" i="8"/>
  <c r="AA9" i="11" s="1"/>
  <c r="AD30" i="8"/>
  <c r="AB28" i="11"/>
  <c r="AB29" i="15" s="1"/>
  <c r="AD29" i="8"/>
  <c r="AB27" i="11"/>
  <c r="AB28" i="15" s="1"/>
  <c r="AD31" i="8"/>
  <c r="AB29" i="11"/>
  <c r="AB30" i="15" s="1"/>
  <c r="AF40" i="13"/>
  <c r="Z10" i="11"/>
  <c r="AA11" i="15" s="1"/>
  <c r="AE6" i="11"/>
  <c r="AE7" i="11" s="1"/>
  <c r="AE8" i="15"/>
  <c r="AE4" i="15"/>
  <c r="AE5" i="15" s="1"/>
  <c r="AD8" i="15"/>
  <c r="AE6" i="8"/>
  <c r="AC17" i="11"/>
  <c r="AC18" i="15" s="1"/>
  <c r="AC19" i="11"/>
  <c r="AC20" i="15" s="1"/>
  <c r="AC21" i="11"/>
  <c r="AC22" i="15" s="1"/>
  <c r="AD25" i="8"/>
  <c r="AC23" i="11" s="1"/>
  <c r="AC24" i="15" s="1"/>
  <c r="AD27" i="8"/>
  <c r="AC25" i="11" s="1"/>
  <c r="AC26" i="15" s="1"/>
  <c r="AC18" i="11"/>
  <c r="AC19" i="15" s="1"/>
  <c r="AD24" i="8"/>
  <c r="AC22" i="11" s="1"/>
  <c r="AC23" i="15" s="1"/>
  <c r="AE28" i="8"/>
  <c r="AD26" i="11" s="1"/>
  <c r="AD27" i="15" s="1"/>
  <c r="AC20" i="11"/>
  <c r="AC21" i="15" s="1"/>
  <c r="AE26" i="8"/>
  <c r="AD24" i="11" s="1"/>
  <c r="AD25" i="15" s="1"/>
  <c r="AC17" i="13"/>
  <c r="AC19" i="13" s="1"/>
  <c r="E14" i="12"/>
  <c r="G66" i="56" s="1"/>
  <c r="AG14" i="11"/>
  <c r="AG15" i="15" s="1"/>
  <c r="AG16" i="11"/>
  <c r="AG17" i="15" s="1"/>
  <c r="AG13" i="11"/>
  <c r="AG14" i="15" s="1"/>
  <c r="AG15" i="11"/>
  <c r="AG16" i="15" s="1"/>
  <c r="G116" i="19"/>
  <c r="AL2" i="9"/>
  <c r="G117" i="19"/>
  <c r="AF6" i="8"/>
  <c r="AF8" i="8"/>
  <c r="H52" i="32"/>
  <c r="F325" i="19"/>
  <c r="Z9" i="11"/>
  <c r="AH103" i="22"/>
  <c r="AB12" i="8" s="1"/>
  <c r="AA10" i="11" s="1"/>
  <c r="AB11" i="15" s="1"/>
  <c r="AD10" i="13"/>
  <c r="AI69" i="22"/>
  <c r="AF5" i="13"/>
  <c r="AG6" i="13"/>
  <c r="AC12" i="15" s="1"/>
  <c r="F322" i="19"/>
  <c r="H49" i="32"/>
  <c r="AF2" i="13"/>
  <c r="AF3" i="13" s="1"/>
  <c r="AG1" i="9"/>
  <c r="AD11" i="13"/>
  <c r="AE8" i="13"/>
  <c r="AE7" i="13"/>
  <c r="AA36" i="15" s="1"/>
  <c r="F326" i="19" l="1"/>
  <c r="H53" i="32"/>
  <c r="F50" i="10"/>
  <c r="AH42" i="7"/>
  <c r="AG4" i="7"/>
  <c r="AG22" i="7" s="1"/>
  <c r="AL132" i="9"/>
  <c r="AL149" i="9" s="1"/>
  <c r="AL67" i="9"/>
  <c r="A67" i="43"/>
  <c r="B67" i="43" s="1"/>
  <c r="C66" i="43"/>
  <c r="D66" i="43" s="1"/>
  <c r="AA37" i="15"/>
  <c r="AB10" i="15"/>
  <c r="AL18" i="9"/>
  <c r="AL50" i="9" s="1"/>
  <c r="AL34" i="9"/>
  <c r="AK99" i="9"/>
  <c r="AK83" i="9"/>
  <c r="AK115" i="9" s="1"/>
  <c r="AI166" i="9"/>
  <c r="AH166" i="9"/>
  <c r="AD7" i="15"/>
  <c r="AL58" i="7"/>
  <c r="AJ84" i="9"/>
  <c r="AJ100" i="9"/>
  <c r="AJ114" i="9" s="1"/>
  <c r="AJ15" i="13" s="1"/>
  <c r="AJ82" i="9"/>
  <c r="AF5" i="11" s="1"/>
  <c r="AK19" i="9"/>
  <c r="AK35" i="9"/>
  <c r="AK49" i="9" s="1"/>
  <c r="AK14" i="13" s="1"/>
  <c r="AK17" i="9"/>
  <c r="AG4" i="11" s="1"/>
  <c r="AJ51" i="9"/>
  <c r="AJ65" i="9" s="1"/>
  <c r="AJ33" i="9"/>
  <c r="AJ150" i="9"/>
  <c r="AJ163" i="9" s="1"/>
  <c r="AJ16" i="13" s="1"/>
  <c r="AJ147" i="9"/>
  <c r="AF6" i="11" s="1"/>
  <c r="E11" i="12"/>
  <c r="AG63" i="13"/>
  <c r="AG50" i="13"/>
  <c r="AF51" i="13"/>
  <c r="AF52" i="13" s="1"/>
  <c r="AF58" i="13"/>
  <c r="AF70" i="13"/>
  <c r="AF72" i="13" s="1"/>
  <c r="AE71" i="13" s="1"/>
  <c r="AF39" i="13"/>
  <c r="AE53" i="13"/>
  <c r="AE54" i="13" s="1"/>
  <c r="AC11" i="8"/>
  <c r="AE31" i="8"/>
  <c r="AC29" i="11"/>
  <c r="AC30" i="15" s="1"/>
  <c r="AE29" i="8"/>
  <c r="AC27" i="11"/>
  <c r="AC28" i="15" s="1"/>
  <c r="AE30" i="8"/>
  <c r="AC28" i="11"/>
  <c r="AC29" i="15" s="1"/>
  <c r="AG40" i="13"/>
  <c r="AE7" i="15"/>
  <c r="AG42" i="8"/>
  <c r="AF31" i="11" s="1"/>
  <c r="AH15" i="11"/>
  <c r="AH16" i="15" s="1"/>
  <c r="AH13" i="11"/>
  <c r="AH14" i="15" s="1"/>
  <c r="AH16" i="11"/>
  <c r="AH17" i="15" s="1"/>
  <c r="AH14" i="11"/>
  <c r="AH15" i="15" s="1"/>
  <c r="AF26" i="8"/>
  <c r="AE24" i="11" s="1"/>
  <c r="AE25" i="15" s="1"/>
  <c r="AD20" i="11"/>
  <c r="AD21" i="15" s="1"/>
  <c r="AF28" i="8"/>
  <c r="AE26" i="11" s="1"/>
  <c r="AE27" i="15" s="1"/>
  <c r="AE24" i="8"/>
  <c r="AD22" i="11" s="1"/>
  <c r="AD23" i="15" s="1"/>
  <c r="AD18" i="11"/>
  <c r="AD19" i="15" s="1"/>
  <c r="AE27" i="8"/>
  <c r="AD25" i="11" s="1"/>
  <c r="AD26" i="15" s="1"/>
  <c r="AE25" i="8"/>
  <c r="AD23" i="11" s="1"/>
  <c r="AD24" i="15" s="1"/>
  <c r="AD21" i="11"/>
  <c r="AD22" i="15" s="1"/>
  <c r="AD19" i="11"/>
  <c r="AD20" i="15" s="1"/>
  <c r="AD17" i="11"/>
  <c r="AD18" i="15" s="1"/>
  <c r="E13" i="12"/>
  <c r="G65" i="56" s="1"/>
  <c r="AD17" i="13"/>
  <c r="AD19" i="13" s="1"/>
  <c r="E324" i="19"/>
  <c r="G51" i="32"/>
  <c r="F14" i="12"/>
  <c r="H66" i="56" s="1"/>
  <c r="AB32" i="8"/>
  <c r="AG4" i="8"/>
  <c r="AM2" i="9"/>
  <c r="AE71" i="41"/>
  <c r="AE72" i="41" s="1"/>
  <c r="G118" i="19"/>
  <c r="AD12" i="13"/>
  <c r="F48" i="10" s="1"/>
  <c r="AG5" i="13"/>
  <c r="AJ69" i="22"/>
  <c r="AI103" i="22"/>
  <c r="AC12" i="8" s="1"/>
  <c r="AB10" i="11" s="1"/>
  <c r="AC11" i="15" s="1"/>
  <c r="AA32" i="8"/>
  <c r="AH6" i="13"/>
  <c r="AD12" i="15" s="1"/>
  <c r="AH1" i="9"/>
  <c r="AG2" i="13"/>
  <c r="AG3" i="13" s="1"/>
  <c r="AF8" i="13"/>
  <c r="AF7" i="13"/>
  <c r="AB36" i="15" s="1"/>
  <c r="E321" i="19" l="1"/>
  <c r="G63" i="56"/>
  <c r="J7" i="51"/>
  <c r="K7" i="51" s="1"/>
  <c r="AI42" i="7"/>
  <c r="AH4" i="7"/>
  <c r="AH22" i="7" s="1"/>
  <c r="AM132" i="9"/>
  <c r="AM149" i="9" s="1"/>
  <c r="AM67" i="9"/>
  <c r="A68" i="43"/>
  <c r="B68" i="43" s="1"/>
  <c r="C67" i="43"/>
  <c r="D67" i="43" s="1"/>
  <c r="AG8" i="8"/>
  <c r="AF8" i="15"/>
  <c r="AB37" i="15"/>
  <c r="AC10" i="15"/>
  <c r="AM18" i="9"/>
  <c r="AM50" i="9" s="1"/>
  <c r="AM34" i="9"/>
  <c r="AL99" i="9"/>
  <c r="AL83" i="9"/>
  <c r="AL115" i="9" s="1"/>
  <c r="AJ165" i="9"/>
  <c r="AK51" i="9"/>
  <c r="AK65" i="9" s="1"/>
  <c r="AK33" i="9"/>
  <c r="AK150" i="9"/>
  <c r="AK163" i="9" s="1"/>
  <c r="AK16" i="13" s="1"/>
  <c r="AK147" i="9"/>
  <c r="AL19" i="9"/>
  <c r="AL35" i="9"/>
  <c r="AL49" i="9" s="1"/>
  <c r="AL14" i="13" s="1"/>
  <c r="AL17" i="9"/>
  <c r="AH4" i="11" s="1"/>
  <c r="AM19" i="9"/>
  <c r="AM35" i="9"/>
  <c r="AM17" i="9"/>
  <c r="AI4" i="11" s="1"/>
  <c r="AK100" i="9"/>
  <c r="AK114" i="9" s="1"/>
  <c r="AK15" i="13" s="1"/>
  <c r="AK84" i="9"/>
  <c r="AK82" i="9"/>
  <c r="AH6" i="8" s="1"/>
  <c r="AJ168" i="9"/>
  <c r="AJ116" i="9"/>
  <c r="AJ130" i="9" s="1"/>
  <c r="AJ98" i="9"/>
  <c r="G48" i="32"/>
  <c r="F11" i="12"/>
  <c r="H63" i="56" s="1"/>
  <c r="AF7" i="11"/>
  <c r="AF71" i="41" s="1"/>
  <c r="AF72" i="41" s="1"/>
  <c r="AG39" i="13"/>
  <c r="AG70" i="13"/>
  <c r="AG72" i="13" s="1"/>
  <c r="AF71" i="13" s="1"/>
  <c r="AG64" i="13"/>
  <c r="AF53" i="13"/>
  <c r="AF54" i="13" s="1"/>
  <c r="AF59" i="13"/>
  <c r="AE55" i="13"/>
  <c r="AE56" i="13" s="1"/>
  <c r="AH63" i="13"/>
  <c r="AG51" i="13"/>
  <c r="AG52" i="13" s="1"/>
  <c r="AG58" i="13"/>
  <c r="AH50" i="13"/>
  <c r="AD11" i="8"/>
  <c r="AF30" i="8"/>
  <c r="AD28" i="11"/>
  <c r="AD29" i="15" s="1"/>
  <c r="AF29" i="8"/>
  <c r="AD27" i="11"/>
  <c r="AD28" i="15" s="1"/>
  <c r="AF31" i="8"/>
  <c r="AD29" i="11"/>
  <c r="AD30" i="15" s="1"/>
  <c r="AH40" i="13"/>
  <c r="AF4" i="15"/>
  <c r="AH42" i="8"/>
  <c r="AG31" i="11" s="1"/>
  <c r="AG6" i="8"/>
  <c r="F324" i="19"/>
  <c r="H51" i="32"/>
  <c r="E323" i="19"/>
  <c r="G50" i="32"/>
  <c r="F13" i="12"/>
  <c r="H65" i="56" s="1"/>
  <c r="AE17" i="11"/>
  <c r="AE18" i="15" s="1"/>
  <c r="AE19" i="11"/>
  <c r="AE20" i="15" s="1"/>
  <c r="AE21" i="11"/>
  <c r="AE22" i="15" s="1"/>
  <c r="AF25" i="8"/>
  <c r="AE23" i="11" s="1"/>
  <c r="AE24" i="15" s="1"/>
  <c r="AF27" i="8"/>
  <c r="AE25" i="11" s="1"/>
  <c r="AE26" i="15" s="1"/>
  <c r="AE18" i="11"/>
  <c r="AE19" i="15" s="1"/>
  <c r="AF24" i="8"/>
  <c r="AE22" i="11" s="1"/>
  <c r="AE23" i="15" s="1"/>
  <c r="AG28" i="8"/>
  <c r="AF26" i="11" s="1"/>
  <c r="AF27" i="15" s="1"/>
  <c r="AE20" i="11"/>
  <c r="AE21" i="15" s="1"/>
  <c r="AG26" i="8"/>
  <c r="AF24" i="11" s="1"/>
  <c r="AF25" i="15" s="1"/>
  <c r="AE17" i="13"/>
  <c r="AE19" i="13" s="1"/>
  <c r="AI14" i="11"/>
  <c r="AI15" i="15" s="1"/>
  <c r="AI16" i="11"/>
  <c r="AI17" i="15" s="1"/>
  <c r="AI13" i="11"/>
  <c r="AI14" i="15" s="1"/>
  <c r="AI15" i="11"/>
  <c r="AI16" i="15" s="1"/>
  <c r="G119" i="19"/>
  <c r="AH4" i="8"/>
  <c r="AM58" i="7"/>
  <c r="AN2" i="9"/>
  <c r="E10" i="12"/>
  <c r="AJ103" i="22"/>
  <c r="AD12" i="8" s="1"/>
  <c r="AC10" i="11" s="1"/>
  <c r="AD11" i="15" s="1"/>
  <c r="AK69" i="22"/>
  <c r="AH5" i="13"/>
  <c r="AB9" i="11"/>
  <c r="AI6" i="13"/>
  <c r="AE12" i="15" s="1"/>
  <c r="AG8" i="13"/>
  <c r="AG7" i="13"/>
  <c r="AC36" i="15" s="1"/>
  <c r="AI1" i="9"/>
  <c r="AH2" i="13"/>
  <c r="AH3" i="13" s="1"/>
  <c r="J5" i="51" l="1"/>
  <c r="J8" i="51" s="1"/>
  <c r="K8" i="51" s="1"/>
  <c r="G62" i="56"/>
  <c r="F321" i="19"/>
  <c r="AF5" i="15"/>
  <c r="K5" i="51"/>
  <c r="AJ42" i="7"/>
  <c r="AI4" i="7"/>
  <c r="AI22" i="7" s="1"/>
  <c r="AM49" i="9"/>
  <c r="AM14" i="13" s="1"/>
  <c r="AN132" i="9"/>
  <c r="AN67" i="9"/>
  <c r="A69" i="43"/>
  <c r="B69" i="43" s="1"/>
  <c r="C68" i="43"/>
  <c r="D68" i="43" s="1"/>
  <c r="AC37" i="15"/>
  <c r="AD10" i="15"/>
  <c r="AG4" i="15"/>
  <c r="AG5" i="15" s="1"/>
  <c r="AN34" i="9"/>
  <c r="AN149" i="9"/>
  <c r="AN18" i="9"/>
  <c r="AN50" i="9" s="1"/>
  <c r="AM83" i="9"/>
  <c r="AM115" i="9" s="1"/>
  <c r="AM99" i="9"/>
  <c r="AJ166" i="9"/>
  <c r="AK165" i="9"/>
  <c r="AK168" i="9"/>
  <c r="AG5" i="11"/>
  <c r="AM100" i="9"/>
  <c r="AM84" i="9"/>
  <c r="AM82" i="9"/>
  <c r="AI5" i="11" s="1"/>
  <c r="AL84" i="9"/>
  <c r="AL100" i="9"/>
  <c r="AL114" i="9" s="1"/>
  <c r="AL15" i="13" s="1"/>
  <c r="AL82" i="9"/>
  <c r="AI6" i="8" s="1"/>
  <c r="AL150" i="9"/>
  <c r="AL163" i="9" s="1"/>
  <c r="AL16" i="13" s="1"/>
  <c r="AL147" i="9"/>
  <c r="AN58" i="7"/>
  <c r="AK116" i="9"/>
  <c r="AK130" i="9" s="1"/>
  <c r="AK98" i="9"/>
  <c r="AM51" i="9"/>
  <c r="AM65" i="9" s="1"/>
  <c r="AM33" i="9"/>
  <c r="AM150" i="9"/>
  <c r="AM163" i="9" s="1"/>
  <c r="AM16" i="13" s="1"/>
  <c r="AM147" i="9"/>
  <c r="AL51" i="9"/>
  <c r="AL65" i="9" s="1"/>
  <c r="AL33" i="9"/>
  <c r="H48" i="32"/>
  <c r="AH70" i="13"/>
  <c r="AH72" i="13" s="1"/>
  <c r="AG71" i="13" s="1"/>
  <c r="AH39" i="13"/>
  <c r="AI63" i="13"/>
  <c r="AH51" i="13"/>
  <c r="AH52" i="13" s="1"/>
  <c r="AI50" i="13"/>
  <c r="AH58" i="13"/>
  <c r="AH64" i="13"/>
  <c r="AG59" i="13"/>
  <c r="AG53" i="13"/>
  <c r="AG54" i="13" s="1"/>
  <c r="AF55" i="13"/>
  <c r="AF56" i="13" s="1"/>
  <c r="AE11" i="8"/>
  <c r="AG31" i="8"/>
  <c r="AE29" i="11"/>
  <c r="AE30" i="15" s="1"/>
  <c r="AG29" i="8"/>
  <c r="AE27" i="11"/>
  <c r="AE28" i="15" s="1"/>
  <c r="AG30" i="8"/>
  <c r="AE28" i="11"/>
  <c r="AE29" i="15" s="1"/>
  <c r="AI40" i="13"/>
  <c r="AG6" i="11"/>
  <c r="AG8" i="15"/>
  <c r="AF7" i="15"/>
  <c r="AI42" i="8"/>
  <c r="AH31" i="11" s="1"/>
  <c r="AJ42" i="8"/>
  <c r="AI31" i="11" s="1"/>
  <c r="AH8" i="8"/>
  <c r="AF21" i="11"/>
  <c r="AF22" i="15" s="1"/>
  <c r="AF17" i="13"/>
  <c r="AF19" i="13" s="1"/>
  <c r="AJ15" i="11"/>
  <c r="AJ16" i="15" s="1"/>
  <c r="AJ13" i="11"/>
  <c r="AJ14" i="15" s="1"/>
  <c r="AJ16" i="11"/>
  <c r="AJ17" i="15" s="1"/>
  <c r="AJ14" i="11"/>
  <c r="AJ15" i="15" s="1"/>
  <c r="AH26" i="8"/>
  <c r="AG24" i="11" s="1"/>
  <c r="AG25" i="15" s="1"/>
  <c r="AF20" i="11"/>
  <c r="AF21" i="15" s="1"/>
  <c r="AH28" i="8"/>
  <c r="AG26" i="11" s="1"/>
  <c r="AG27" i="15" s="1"/>
  <c r="AG24" i="8"/>
  <c r="AF22" i="11" s="1"/>
  <c r="AF23" i="15" s="1"/>
  <c r="AF18" i="11"/>
  <c r="AF19" i="15" s="1"/>
  <c r="AG27" i="8"/>
  <c r="AF25" i="11" s="1"/>
  <c r="AF26" i="15" s="1"/>
  <c r="AG25" i="8"/>
  <c r="AF23" i="11" s="1"/>
  <c r="AF24" i="15" s="1"/>
  <c r="AF19" i="11"/>
  <c r="AF20" i="15" s="1"/>
  <c r="AF17" i="11"/>
  <c r="AF18" i="15" s="1"/>
  <c r="F323" i="19"/>
  <c r="H50" i="32"/>
  <c r="AO2" i="9"/>
  <c r="AI4" i="8"/>
  <c r="G120" i="19"/>
  <c r="AJ4" i="8"/>
  <c r="AC9" i="11"/>
  <c r="AC32" i="8"/>
  <c r="AK103" i="22"/>
  <c r="AE12" i="8" s="1"/>
  <c r="AD10" i="11" s="1"/>
  <c r="AE11" i="15" s="1"/>
  <c r="AL69" i="22"/>
  <c r="AI5" i="13"/>
  <c r="E320" i="19"/>
  <c r="G47" i="32"/>
  <c r="F10" i="12"/>
  <c r="H62" i="56" s="1"/>
  <c r="AJ6" i="13"/>
  <c r="AF12" i="15" s="1"/>
  <c r="AI2" i="13"/>
  <c r="AI3" i="13" s="1"/>
  <c r="AJ1" i="9"/>
  <c r="AH8" i="13"/>
  <c r="AH7" i="13"/>
  <c r="AD36" i="15" s="1"/>
  <c r="AK42" i="7" l="1"/>
  <c r="AJ4" i="7"/>
  <c r="AJ22" i="7" s="1"/>
  <c r="AG55" i="13"/>
  <c r="AG56" i="13" s="1"/>
  <c r="AH66" i="13" s="1"/>
  <c r="AO132" i="9"/>
  <c r="AO149" i="9" s="1"/>
  <c r="AO67" i="9"/>
  <c r="AG7" i="15"/>
  <c r="AG7" i="11"/>
  <c r="AG71" i="41" s="1"/>
  <c r="AG72" i="41" s="1"/>
  <c r="A70" i="43"/>
  <c r="B70" i="43" s="1"/>
  <c r="C69" i="43"/>
  <c r="D69" i="43" s="1"/>
  <c r="AE10" i="15"/>
  <c r="AD37" i="15"/>
  <c r="AM114" i="9"/>
  <c r="AM15" i="13" s="1"/>
  <c r="AH4" i="15"/>
  <c r="AH5" i="15" s="1"/>
  <c r="AO34" i="9"/>
  <c r="AO18" i="9"/>
  <c r="AO50" i="9" s="1"/>
  <c r="AN99" i="9"/>
  <c r="AN83" i="9"/>
  <c r="AN115" i="9" s="1"/>
  <c r="AL165" i="9"/>
  <c r="AM165" i="9"/>
  <c r="AK166" i="9"/>
  <c r="AM168" i="9"/>
  <c r="AO35" i="9"/>
  <c r="AO19" i="9"/>
  <c r="AO17" i="9"/>
  <c r="AK4" i="11" s="1"/>
  <c r="AN19" i="9"/>
  <c r="AN35" i="9"/>
  <c r="AN49" i="9" s="1"/>
  <c r="AN14" i="13" s="1"/>
  <c r="AN17" i="9"/>
  <c r="AJ4" i="11" s="1"/>
  <c r="AL168" i="9"/>
  <c r="AH5" i="11"/>
  <c r="AL116" i="9"/>
  <c r="AL130" i="9" s="1"/>
  <c r="AL98" i="9"/>
  <c r="AM116" i="9"/>
  <c r="AM130" i="9" s="1"/>
  <c r="AM98" i="9"/>
  <c r="AG66" i="13"/>
  <c r="AJ63" i="13"/>
  <c r="AI58" i="13"/>
  <c r="AJ50" i="13"/>
  <c r="AI51" i="13"/>
  <c r="AI52" i="13" s="1"/>
  <c r="AI39" i="13"/>
  <c r="AI70" i="13"/>
  <c r="AI72" i="13" s="1"/>
  <c r="AH71" i="13" s="1"/>
  <c r="AI64" i="13"/>
  <c r="AH59" i="13"/>
  <c r="AH53" i="13"/>
  <c r="AH54" i="13" s="1"/>
  <c r="AF11" i="8"/>
  <c r="AH30" i="8"/>
  <c r="AF28" i="11"/>
  <c r="AF29" i="15" s="1"/>
  <c r="AH29" i="8"/>
  <c r="AF27" i="11"/>
  <c r="AF28" i="15" s="1"/>
  <c r="AH31" i="8"/>
  <c r="AF29" i="11"/>
  <c r="AF30" i="15" s="1"/>
  <c r="AJ40" i="13"/>
  <c r="AI6" i="11"/>
  <c r="AI7" i="11" s="1"/>
  <c r="AI8" i="15"/>
  <c r="AI4" i="15"/>
  <c r="AI5" i="15" s="1"/>
  <c r="AH6" i="11"/>
  <c r="AH8" i="15"/>
  <c r="AG17" i="13"/>
  <c r="AG19" i="13" s="1"/>
  <c r="AG17" i="11"/>
  <c r="AG18" i="15" s="1"/>
  <c r="AG19" i="11"/>
  <c r="AG20" i="15" s="1"/>
  <c r="AH25" i="8"/>
  <c r="AG23" i="11" s="1"/>
  <c r="AG24" i="15" s="1"/>
  <c r="AH27" i="8"/>
  <c r="AG25" i="11" s="1"/>
  <c r="AG26" i="15" s="1"/>
  <c r="AG18" i="11"/>
  <c r="AG19" i="15" s="1"/>
  <c r="AH24" i="8"/>
  <c r="AG22" i="11" s="1"/>
  <c r="AG23" i="15" s="1"/>
  <c r="AI28" i="8"/>
  <c r="AH26" i="11" s="1"/>
  <c r="AH27" i="15" s="1"/>
  <c r="AG20" i="11"/>
  <c r="AG21" i="15" s="1"/>
  <c r="AI26" i="8"/>
  <c r="AH24" i="11" s="1"/>
  <c r="AH25" i="15" s="1"/>
  <c r="AG21" i="11"/>
  <c r="AG22" i="15" s="1"/>
  <c r="AK14" i="11"/>
  <c r="AK15" i="15" s="1"/>
  <c r="AK16" i="11"/>
  <c r="AK17" i="15" s="1"/>
  <c r="AK13" i="11"/>
  <c r="AK14" i="15" s="1"/>
  <c r="AK15" i="11"/>
  <c r="AK16" i="15" s="1"/>
  <c r="H185" i="19"/>
  <c r="AI8" i="8"/>
  <c r="AO58" i="7"/>
  <c r="AJ6" i="8"/>
  <c r="G121" i="19"/>
  <c r="AJ8" i="8"/>
  <c r="AM69" i="22"/>
  <c r="AL103" i="22"/>
  <c r="AF12" i="8" s="1"/>
  <c r="AE10" i="11" s="1"/>
  <c r="AF11" i="15" s="1"/>
  <c r="AD9" i="11"/>
  <c r="F320" i="19"/>
  <c r="H47" i="32"/>
  <c r="AD32" i="8"/>
  <c r="AK6" i="13"/>
  <c r="AG12" i="15" s="1"/>
  <c r="AI8" i="13"/>
  <c r="AI7" i="13"/>
  <c r="AE36" i="15" s="1"/>
  <c r="AJ2" i="13"/>
  <c r="AJ3" i="13" s="1"/>
  <c r="AK1" i="9"/>
  <c r="AL42" i="7" l="1"/>
  <c r="AK4" i="7"/>
  <c r="AK22" i="7" s="1"/>
  <c r="AH7" i="11"/>
  <c r="AH71" i="41" s="1"/>
  <c r="AH72" i="41" s="1"/>
  <c r="A71" i="43"/>
  <c r="B71" i="43" s="1"/>
  <c r="C70" i="43"/>
  <c r="D70" i="43" s="1"/>
  <c r="AF10" i="15"/>
  <c r="AJ5" i="13"/>
  <c r="AE37" i="15"/>
  <c r="AO49" i="9"/>
  <c r="AO14" i="13" s="1"/>
  <c r="AH7" i="15"/>
  <c r="AO99" i="9"/>
  <c r="AO83" i="9"/>
  <c r="AO115" i="9" s="1"/>
  <c r="AM166" i="9"/>
  <c r="AL166" i="9"/>
  <c r="AN51" i="9"/>
  <c r="AN65" i="9" s="1"/>
  <c r="AN33" i="9"/>
  <c r="AN150" i="9"/>
  <c r="AN163" i="9" s="1"/>
  <c r="AN16" i="13" s="1"/>
  <c r="AN147" i="9"/>
  <c r="AO51" i="9"/>
  <c r="AO65" i="9" s="1"/>
  <c r="AO33" i="9"/>
  <c r="AO100" i="9"/>
  <c r="AO84" i="9"/>
  <c r="AO82" i="9"/>
  <c r="AK5" i="11" s="1"/>
  <c r="AN84" i="9"/>
  <c r="AN100" i="9"/>
  <c r="AN114" i="9" s="1"/>
  <c r="AN15" i="13" s="1"/>
  <c r="AN82" i="9"/>
  <c r="AJ5" i="11" s="1"/>
  <c r="AO150" i="9"/>
  <c r="AO163" i="9" s="1"/>
  <c r="AO16" i="13" s="1"/>
  <c r="AO147" i="9"/>
  <c r="AJ70" i="13"/>
  <c r="AJ72" i="13" s="1"/>
  <c r="AI71" i="13" s="1"/>
  <c r="AJ39" i="13"/>
  <c r="AH55" i="13"/>
  <c r="AH56" i="13" s="1"/>
  <c r="AJ64" i="13"/>
  <c r="AI59" i="13"/>
  <c r="AI53" i="13"/>
  <c r="AI54" i="13" s="1"/>
  <c r="AK63" i="13"/>
  <c r="AK50" i="13"/>
  <c r="AJ51" i="13"/>
  <c r="AJ52" i="13" s="1"/>
  <c r="AJ58" i="13"/>
  <c r="AG11" i="8"/>
  <c r="AI31" i="8"/>
  <c r="AG29" i="11"/>
  <c r="AG30" i="15" s="1"/>
  <c r="AI29" i="8"/>
  <c r="AG27" i="11"/>
  <c r="AG28" i="15" s="1"/>
  <c r="AI30" i="8"/>
  <c r="AG28" i="11"/>
  <c r="AG29" i="15" s="1"/>
  <c r="AK40" i="13"/>
  <c r="AI7" i="15"/>
  <c r="AL42" i="8"/>
  <c r="AK31" i="11" s="1"/>
  <c r="AK4" i="8"/>
  <c r="AK42" i="8"/>
  <c r="AJ31" i="11" s="1"/>
  <c r="AH17" i="13"/>
  <c r="AH19" i="13" s="1"/>
  <c r="AH21" i="11"/>
  <c r="AH22" i="15" s="1"/>
  <c r="AJ26" i="8"/>
  <c r="AI24" i="11" s="1"/>
  <c r="AI25" i="15" s="1"/>
  <c r="AH20" i="11"/>
  <c r="AH21" i="15" s="1"/>
  <c r="AJ28" i="8"/>
  <c r="AI26" i="11" s="1"/>
  <c r="AI27" i="15" s="1"/>
  <c r="AI24" i="8"/>
  <c r="AH22" i="11" s="1"/>
  <c r="AH23" i="15" s="1"/>
  <c r="AH18" i="11"/>
  <c r="AH19" i="15" s="1"/>
  <c r="AI27" i="8"/>
  <c r="AH25" i="11" s="1"/>
  <c r="AH26" i="15" s="1"/>
  <c r="AI25" i="8"/>
  <c r="AH23" i="11" s="1"/>
  <c r="AH24" i="15" s="1"/>
  <c r="AH19" i="11"/>
  <c r="AH20" i="15" s="1"/>
  <c r="AH17" i="11"/>
  <c r="AH18" i="15" s="1"/>
  <c r="AL15" i="11"/>
  <c r="AL16" i="15" s="1"/>
  <c r="AL13" i="11"/>
  <c r="AL14" i="15" s="1"/>
  <c r="AL16" i="11"/>
  <c r="AL17" i="15" s="1"/>
  <c r="AL14" i="11"/>
  <c r="AL15" i="15" s="1"/>
  <c r="AP2" i="9"/>
  <c r="AI71" i="41"/>
  <c r="AI72" i="41" s="1"/>
  <c r="AL4" i="8"/>
  <c r="AE32" i="8"/>
  <c r="AM103" i="22"/>
  <c r="AG12" i="8" s="1"/>
  <c r="AF10" i="11" s="1"/>
  <c r="AG11" i="15" s="1"/>
  <c r="AE9" i="11"/>
  <c r="AN69" i="22"/>
  <c r="AK5" i="13"/>
  <c r="AL6" i="13"/>
  <c r="AH12" i="15" s="1"/>
  <c r="AK2" i="13"/>
  <c r="AK3" i="13" s="1"/>
  <c r="AL1" i="9"/>
  <c r="AJ7" i="13"/>
  <c r="AF36" i="15" s="1"/>
  <c r="AJ8" i="13"/>
  <c r="AM42" i="7" l="1"/>
  <c r="AL4" i="7"/>
  <c r="AL22" i="7" s="1"/>
  <c r="AO114" i="9"/>
  <c r="AO15" i="13" s="1"/>
  <c r="AP132" i="9"/>
  <c r="AP149" i="9" s="1"/>
  <c r="AP67" i="9"/>
  <c r="A72" i="43"/>
  <c r="B72" i="43" s="1"/>
  <c r="C71" i="43"/>
  <c r="D71" i="43" s="1"/>
  <c r="AF37" i="15"/>
  <c r="AG10" i="15"/>
  <c r="AO165" i="9"/>
  <c r="AJ4" i="15"/>
  <c r="AJ5" i="15" s="1"/>
  <c r="AP18" i="9"/>
  <c r="AP50" i="9" s="1"/>
  <c r="AP34" i="9"/>
  <c r="AN165" i="9"/>
  <c r="AO168" i="9"/>
  <c r="AQ43" i="7"/>
  <c r="AQ58" i="7" s="1"/>
  <c r="AN168" i="9"/>
  <c r="AN116" i="9"/>
  <c r="AN130" i="9" s="1"/>
  <c r="AN98" i="9"/>
  <c r="AO116" i="9"/>
  <c r="AO130" i="9" s="1"/>
  <c r="AO98" i="9"/>
  <c r="AK39" i="13"/>
  <c r="AK70" i="13"/>
  <c r="AK72" i="13" s="1"/>
  <c r="AJ71" i="13" s="1"/>
  <c r="AK64" i="13"/>
  <c r="AJ59" i="13"/>
  <c r="AJ53" i="13"/>
  <c r="AJ54" i="13" s="1"/>
  <c r="AL63" i="13"/>
  <c r="AK58" i="13"/>
  <c r="AL50" i="13"/>
  <c r="AK51" i="13"/>
  <c r="AK52" i="13" s="1"/>
  <c r="AI55" i="13"/>
  <c r="AI56" i="13" s="1"/>
  <c r="AK4" i="15"/>
  <c r="AK5" i="15" s="1"/>
  <c r="AH11" i="8"/>
  <c r="AJ30" i="8"/>
  <c r="AH28" i="11"/>
  <c r="AH29" i="15" s="1"/>
  <c r="AJ29" i="8"/>
  <c r="AH27" i="11"/>
  <c r="AH28" i="15" s="1"/>
  <c r="AJ31" i="8"/>
  <c r="AH29" i="11"/>
  <c r="AH30" i="15" s="1"/>
  <c r="AL40" i="13"/>
  <c r="AK6" i="11"/>
  <c r="AK7" i="11" s="1"/>
  <c r="AK8" i="15"/>
  <c r="AJ6" i="11"/>
  <c r="AJ7" i="11" s="1"/>
  <c r="AJ71" i="41" s="1"/>
  <c r="AJ72" i="41" s="1"/>
  <c r="AJ8" i="15"/>
  <c r="AI17" i="11"/>
  <c r="AI18" i="15" s="1"/>
  <c r="AI19" i="11"/>
  <c r="AI20" i="15" s="1"/>
  <c r="AJ25" i="8"/>
  <c r="AI23" i="11" s="1"/>
  <c r="AI24" i="15" s="1"/>
  <c r="AJ27" i="8"/>
  <c r="AI25" i="11" s="1"/>
  <c r="AI26" i="15" s="1"/>
  <c r="AI18" i="11"/>
  <c r="AI19" i="15" s="1"/>
  <c r="AJ24" i="8"/>
  <c r="AI22" i="11" s="1"/>
  <c r="AI23" i="15" s="1"/>
  <c r="AK28" i="8"/>
  <c r="AJ26" i="11" s="1"/>
  <c r="AJ27" i="15" s="1"/>
  <c r="AI20" i="11"/>
  <c r="AI21" i="15" s="1"/>
  <c r="AK26" i="8"/>
  <c r="AJ24" i="11" s="1"/>
  <c r="AJ25" i="15" s="1"/>
  <c r="AI21" i="11"/>
  <c r="AI22" i="15" s="1"/>
  <c r="AI17" i="13"/>
  <c r="AI19" i="13" s="1"/>
  <c r="H184" i="19"/>
  <c r="G122" i="19"/>
  <c r="AK8" i="8"/>
  <c r="AK6" i="8"/>
  <c r="AP58" i="7"/>
  <c r="G123" i="19"/>
  <c r="AL8" i="8"/>
  <c r="AL6" i="8"/>
  <c r="AN103" i="22"/>
  <c r="AH12" i="8" s="1"/>
  <c r="AG10" i="11" s="1"/>
  <c r="AH11" i="15" s="1"/>
  <c r="AO69" i="22"/>
  <c r="AF32" i="8"/>
  <c r="AF9" i="11"/>
  <c r="AM6" i="13"/>
  <c r="AI12" i="15" s="1"/>
  <c r="AL2" i="13"/>
  <c r="AL3" i="13" s="1"/>
  <c r="AM1" i="9"/>
  <c r="AK8" i="13"/>
  <c r="AK7" i="13"/>
  <c r="AG36" i="15" s="1"/>
  <c r="AN42" i="7" l="1"/>
  <c r="AM4" i="7"/>
  <c r="AM22" i="7" s="1"/>
  <c r="AJ55" i="13"/>
  <c r="AJ56" i="13" s="1"/>
  <c r="A73" i="43"/>
  <c r="B73" i="43" s="1"/>
  <c r="C72" i="43"/>
  <c r="D72" i="43" s="1"/>
  <c r="AH10" i="15"/>
  <c r="AL5" i="13"/>
  <c r="AG37" i="15"/>
  <c r="AJ7" i="15"/>
  <c r="AO166" i="9"/>
  <c r="AN166" i="9"/>
  <c r="AP99" i="9"/>
  <c r="AP83" i="9"/>
  <c r="AP115" i="9" s="1"/>
  <c r="AP19" i="9"/>
  <c r="AP35" i="9"/>
  <c r="AP49" i="9" s="1"/>
  <c r="AP14" i="13" s="1"/>
  <c r="AP23" i="13" s="1"/>
  <c r="AP17" i="9"/>
  <c r="AL4" i="11" s="1"/>
  <c r="AL70" i="13"/>
  <c r="AL72" i="13" s="1"/>
  <c r="AK71" i="13" s="1"/>
  <c r="AL39" i="13"/>
  <c r="AM63" i="13"/>
  <c r="AL58" i="13"/>
  <c r="AL51" i="13"/>
  <c r="AL52" i="13" s="1"/>
  <c r="AM50" i="13"/>
  <c r="AJ66" i="13"/>
  <c r="AL64" i="13"/>
  <c r="AK53" i="13"/>
  <c r="AK54" i="13" s="1"/>
  <c r="AK59" i="13"/>
  <c r="AI11" i="8"/>
  <c r="AK31" i="8"/>
  <c r="AI29" i="11"/>
  <c r="AI30" i="15" s="1"/>
  <c r="AK29" i="8"/>
  <c r="AI27" i="11"/>
  <c r="AI28" i="15" s="1"/>
  <c r="AK30" i="8"/>
  <c r="AI28" i="11"/>
  <c r="AI29" i="15" s="1"/>
  <c r="AM40" i="13"/>
  <c r="AK7" i="15"/>
  <c r="AJ21" i="11"/>
  <c r="AJ22" i="15" s="1"/>
  <c r="AL26" i="8"/>
  <c r="AK24" i="11" s="1"/>
  <c r="AK25" i="15" s="1"/>
  <c r="AJ20" i="11"/>
  <c r="AJ21" i="15" s="1"/>
  <c r="AL28" i="8"/>
  <c r="AK26" i="11" s="1"/>
  <c r="AK27" i="15" s="1"/>
  <c r="AK24" i="8"/>
  <c r="AJ22" i="11" s="1"/>
  <c r="AJ23" i="15" s="1"/>
  <c r="AJ18" i="11"/>
  <c r="AJ19" i="15" s="1"/>
  <c r="AK27" i="8"/>
  <c r="AJ25" i="11" s="1"/>
  <c r="AJ26" i="15" s="1"/>
  <c r="AK25" i="8"/>
  <c r="AJ23" i="11" s="1"/>
  <c r="AJ24" i="15" s="1"/>
  <c r="AJ19" i="11"/>
  <c r="AJ20" i="15" s="1"/>
  <c r="AJ17" i="11"/>
  <c r="AJ18" i="15" s="1"/>
  <c r="AJ17" i="13"/>
  <c r="AJ19" i="13" s="1"/>
  <c r="AK71" i="41"/>
  <c r="AK72" i="41" s="1"/>
  <c r="AG9" i="11"/>
  <c r="AG32" i="8"/>
  <c r="AM5" i="13"/>
  <c r="AP69" i="22"/>
  <c r="AO103" i="22"/>
  <c r="AI12" i="8" s="1"/>
  <c r="AH10" i="11" s="1"/>
  <c r="AI11" i="15" s="1"/>
  <c r="AN6" i="13"/>
  <c r="AJ12" i="15" s="1"/>
  <c r="AL8" i="13"/>
  <c r="AL7" i="13"/>
  <c r="AH36" i="15" s="1"/>
  <c r="AN1" i="9"/>
  <c r="AM2" i="13"/>
  <c r="AM3" i="13" s="1"/>
  <c r="AO42" i="7" l="1"/>
  <c r="AN4" i="7"/>
  <c r="AN22" i="7" s="1"/>
  <c r="A74" i="43"/>
  <c r="B74" i="43" s="1"/>
  <c r="C73" i="43"/>
  <c r="D73" i="43" s="1"/>
  <c r="AH37" i="15"/>
  <c r="AI10" i="15"/>
  <c r="AP84" i="9"/>
  <c r="AP100" i="9"/>
  <c r="AP114" i="9" s="1"/>
  <c r="AP15" i="13" s="1"/>
  <c r="AP82" i="9"/>
  <c r="AL5" i="11" s="1"/>
  <c r="AP51" i="9"/>
  <c r="AP65" i="9" s="1"/>
  <c r="AP33" i="9"/>
  <c r="AP150" i="9"/>
  <c r="AP163" i="9" s="1"/>
  <c r="AP16" i="13" s="1"/>
  <c r="AP147" i="9"/>
  <c r="H189" i="19"/>
  <c r="AK55" i="13"/>
  <c r="AK56" i="13" s="1"/>
  <c r="AN63" i="13"/>
  <c r="AM58" i="13"/>
  <c r="AN50" i="13"/>
  <c r="AM51" i="13"/>
  <c r="AM52" i="13" s="1"/>
  <c r="AM39" i="13"/>
  <c r="AM70" i="13"/>
  <c r="AM72" i="13" s="1"/>
  <c r="AL71" i="13" s="1"/>
  <c r="AM64" i="13"/>
  <c r="AL59" i="13"/>
  <c r="AL53" i="13"/>
  <c r="AL54" i="13" s="1"/>
  <c r="H188" i="19"/>
  <c r="H190" i="19"/>
  <c r="AJ11" i="8"/>
  <c r="AL30" i="8"/>
  <c r="AJ28" i="11"/>
  <c r="AJ29" i="15" s="1"/>
  <c r="AL29" i="8"/>
  <c r="AJ27" i="11"/>
  <c r="AJ28" i="15" s="1"/>
  <c r="AL31" i="8"/>
  <c r="AJ29" i="11"/>
  <c r="AJ30" i="15" s="1"/>
  <c r="AN40" i="13"/>
  <c r="AM42" i="8"/>
  <c r="AL31" i="11" s="1"/>
  <c r="H28" i="10" s="1"/>
  <c r="AK17" i="13"/>
  <c r="AK19" i="13" s="1"/>
  <c r="AK17" i="11"/>
  <c r="AK18" i="15" s="1"/>
  <c r="AK19" i="11"/>
  <c r="AK20" i="15" s="1"/>
  <c r="AL25" i="8"/>
  <c r="AK23" i="11" s="1"/>
  <c r="AK24" i="15" s="1"/>
  <c r="AL27" i="8"/>
  <c r="AK25" i="11" s="1"/>
  <c r="AK26" i="15" s="1"/>
  <c r="AK18" i="11"/>
  <c r="AK19" i="15" s="1"/>
  <c r="AL24" i="8"/>
  <c r="AK22" i="11" s="1"/>
  <c r="AK23" i="15" s="1"/>
  <c r="AM28" i="8"/>
  <c r="AL26" i="11" s="1"/>
  <c r="AL27" i="15" s="1"/>
  <c r="AK20" i="11"/>
  <c r="AK21" i="15" s="1"/>
  <c r="AM26" i="8"/>
  <c r="AL24" i="11" s="1"/>
  <c r="AL25" i="15" s="1"/>
  <c r="AK21" i="11"/>
  <c r="AK22" i="15" s="1"/>
  <c r="AM4" i="8"/>
  <c r="AP103" i="22"/>
  <c r="AJ12" i="8" s="1"/>
  <c r="AI10" i="11" s="1"/>
  <c r="AJ11" i="15" s="1"/>
  <c r="AN5" i="13"/>
  <c r="AQ69" i="22"/>
  <c r="AH9" i="11"/>
  <c r="AH32" i="8"/>
  <c r="H182" i="19"/>
  <c r="AO6" i="13"/>
  <c r="AK12" i="15" s="1"/>
  <c r="AM7" i="13"/>
  <c r="AI36" i="15" s="1"/>
  <c r="AM8" i="13"/>
  <c r="AN2" i="13"/>
  <c r="AN3" i="13" s="1"/>
  <c r="AO1" i="9"/>
  <c r="AP42" i="7" l="1"/>
  <c r="AP4" i="7" s="1"/>
  <c r="AP22" i="7" s="1"/>
  <c r="AO4" i="7"/>
  <c r="AO22" i="7" s="1"/>
  <c r="A75" i="43"/>
  <c r="B75" i="43" s="1"/>
  <c r="C74" i="43"/>
  <c r="D74" i="43" s="1"/>
  <c r="AI37" i="15"/>
  <c r="AJ10" i="15"/>
  <c r="AP165" i="9"/>
  <c r="AP168" i="9"/>
  <c r="AP116" i="9"/>
  <c r="AP130" i="9" s="1"/>
  <c r="AP98" i="9"/>
  <c r="H187" i="19"/>
  <c r="AL55" i="13"/>
  <c r="AL56" i="13" s="1"/>
  <c r="AN64" i="13"/>
  <c r="AM59" i="13"/>
  <c r="AM53" i="13"/>
  <c r="AM54" i="13" s="1"/>
  <c r="AN70" i="13"/>
  <c r="AN72" i="13" s="1"/>
  <c r="AM71" i="13" s="1"/>
  <c r="AN39" i="13"/>
  <c r="AO63" i="13"/>
  <c r="AO50" i="13"/>
  <c r="AN51" i="13"/>
  <c r="AN52" i="13" s="1"/>
  <c r="AN58" i="13"/>
  <c r="AL4" i="15"/>
  <c r="G110" i="56" s="1"/>
  <c r="AK11" i="8"/>
  <c r="AM31" i="8"/>
  <c r="AL29" i="11" s="1"/>
  <c r="AL30" i="15" s="1"/>
  <c r="AK29" i="11"/>
  <c r="AK30" i="15" s="1"/>
  <c r="AM29" i="8"/>
  <c r="AL27" i="11" s="1"/>
  <c r="AL28" i="15" s="1"/>
  <c r="AK27" i="11"/>
  <c r="AK28" i="15" s="1"/>
  <c r="AM30" i="8"/>
  <c r="AL28" i="11" s="1"/>
  <c r="AL29" i="15" s="1"/>
  <c r="AK28" i="11"/>
  <c r="AK29" i="15" s="1"/>
  <c r="AO40" i="13"/>
  <c r="H181" i="19"/>
  <c r="AL6" i="11"/>
  <c r="AL7" i="11" s="1"/>
  <c r="AL8" i="15"/>
  <c r="AL21" i="11"/>
  <c r="AL22" i="15" s="1"/>
  <c r="AL20" i="11"/>
  <c r="AL21" i="15" s="1"/>
  <c r="AM24" i="8"/>
  <c r="AL22" i="11" s="1"/>
  <c r="AL23" i="15" s="1"/>
  <c r="AL18" i="11"/>
  <c r="AL19" i="15" s="1"/>
  <c r="AM27" i="8"/>
  <c r="AL25" i="11" s="1"/>
  <c r="AL26" i="15" s="1"/>
  <c r="AM25" i="8"/>
  <c r="AL23" i="11" s="1"/>
  <c r="AL24" i="15" s="1"/>
  <c r="AL19" i="11"/>
  <c r="AL20" i="15" s="1"/>
  <c r="AL17" i="11"/>
  <c r="AL18" i="15" s="1"/>
  <c r="AL17" i="13"/>
  <c r="AL19" i="13" s="1"/>
  <c r="G18" i="12"/>
  <c r="I70" i="56" s="1"/>
  <c r="G124" i="19"/>
  <c r="G4" i="12"/>
  <c r="I56" i="56" s="1"/>
  <c r="AM6" i="8"/>
  <c r="G5" i="12"/>
  <c r="I57" i="56" s="1"/>
  <c r="AM8" i="8"/>
  <c r="G15" i="12"/>
  <c r="I67" i="56" s="1"/>
  <c r="AI9" i="11"/>
  <c r="AI32" i="8"/>
  <c r="H183" i="19"/>
  <c r="AO5" i="13"/>
  <c r="AR69" i="22"/>
  <c r="AQ103" i="22"/>
  <c r="AK12" i="8" s="1"/>
  <c r="AJ10" i="11" s="1"/>
  <c r="AK11" i="15" s="1"/>
  <c r="AP6" i="13"/>
  <c r="AL12" i="15" s="1"/>
  <c r="AO2" i="13"/>
  <c r="AO3" i="13" s="1"/>
  <c r="AP1" i="9"/>
  <c r="AP2" i="13" s="1"/>
  <c r="AP3" i="13" s="1"/>
  <c r="AN8" i="13"/>
  <c r="AN7" i="13"/>
  <c r="AJ36" i="15" s="1"/>
  <c r="G128" i="56" l="1"/>
  <c r="G129" i="56" s="1"/>
  <c r="G130" i="56" s="1"/>
  <c r="G136" i="56"/>
  <c r="L2" i="51"/>
  <c r="M2" i="51" s="1"/>
  <c r="G328" i="19"/>
  <c r="AL5" i="15"/>
  <c r="G111" i="56" s="1"/>
  <c r="AM55" i="13"/>
  <c r="AM56" i="13" s="1"/>
  <c r="A76" i="43"/>
  <c r="B76" i="43" s="1"/>
  <c r="C75" i="43"/>
  <c r="D75" i="43" s="1"/>
  <c r="AJ37" i="15"/>
  <c r="AK10" i="15"/>
  <c r="G6" i="12"/>
  <c r="I58" i="56" s="1"/>
  <c r="AP166" i="9"/>
  <c r="H44" i="10" s="1"/>
  <c r="G16" i="12"/>
  <c r="H191" i="19"/>
  <c r="H192" i="19" s="1"/>
  <c r="AP70" i="13"/>
  <c r="AP72" i="13" s="1"/>
  <c r="AO71" i="13" s="1"/>
  <c r="AP39" i="13"/>
  <c r="AP63" i="13"/>
  <c r="AO51" i="13"/>
  <c r="AO52" i="13" s="1"/>
  <c r="AO58" i="13"/>
  <c r="AP50" i="13"/>
  <c r="AO39" i="13"/>
  <c r="AO70" i="13"/>
  <c r="AO72" i="13" s="1"/>
  <c r="AN71" i="13" s="1"/>
  <c r="AO64" i="13"/>
  <c r="AN59" i="13"/>
  <c r="AN53" i="13"/>
  <c r="AN54" i="13" s="1"/>
  <c r="AL11" i="8"/>
  <c r="AL7" i="15"/>
  <c r="I55" i="32"/>
  <c r="H18" i="12"/>
  <c r="J70" i="56" s="1"/>
  <c r="G95" i="32"/>
  <c r="AM17" i="13"/>
  <c r="AM19" i="13" s="1"/>
  <c r="I42" i="32"/>
  <c r="G315" i="19"/>
  <c r="H5" i="12"/>
  <c r="J57" i="56" s="1"/>
  <c r="G314" i="19"/>
  <c r="H4" i="12"/>
  <c r="J56" i="56" s="1"/>
  <c r="I41" i="32"/>
  <c r="G111" i="32" s="1"/>
  <c r="G112" i="32" s="1"/>
  <c r="G113" i="32" s="1"/>
  <c r="G125" i="19"/>
  <c r="H124" i="19" s="1"/>
  <c r="G325" i="19"/>
  <c r="I52" i="32"/>
  <c r="H15" i="12"/>
  <c r="J67" i="56" s="1"/>
  <c r="AR103" i="22"/>
  <c r="AL12" i="8" s="1"/>
  <c r="AK10" i="11" s="1"/>
  <c r="AL11" i="15" s="1"/>
  <c r="AJ32" i="8"/>
  <c r="AP5" i="13"/>
  <c r="AS69" i="22"/>
  <c r="AJ9" i="11"/>
  <c r="G12" i="12"/>
  <c r="I64" i="56" s="1"/>
  <c r="AP7" i="13"/>
  <c r="AL36" i="15" s="1"/>
  <c r="AP8" i="13"/>
  <c r="AO8" i="13"/>
  <c r="AO7" i="13"/>
  <c r="AK36" i="15" s="1"/>
  <c r="G96" i="32" l="1"/>
  <c r="G326" i="19"/>
  <c r="I68" i="56"/>
  <c r="G104" i="56"/>
  <c r="L6" i="51"/>
  <c r="M6" i="51" s="1"/>
  <c r="J55" i="32"/>
  <c r="H6" i="12"/>
  <c r="J58" i="56" s="1"/>
  <c r="L3" i="51"/>
  <c r="H16" i="12"/>
  <c r="J68" i="56" s="1"/>
  <c r="G316" i="19"/>
  <c r="AP73" i="13"/>
  <c r="I43" i="32"/>
  <c r="A77" i="43"/>
  <c r="B77" i="43" s="1"/>
  <c r="C76" i="43"/>
  <c r="D76" i="43" s="1"/>
  <c r="I53" i="32"/>
  <c r="AL37" i="15"/>
  <c r="AK37" i="15"/>
  <c r="AL10" i="15"/>
  <c r="AN55" i="13"/>
  <c r="AN56" i="13" s="1"/>
  <c r="AQ63" i="13"/>
  <c r="AP51" i="13"/>
  <c r="AP52" i="13" s="1"/>
  <c r="AQ50" i="13"/>
  <c r="AP58" i="13"/>
  <c r="AP64" i="13"/>
  <c r="AO59" i="13"/>
  <c r="AO53" i="13"/>
  <c r="AO54" i="13" s="1"/>
  <c r="H328" i="19"/>
  <c r="AM11" i="8"/>
  <c r="AP10" i="13"/>
  <c r="AN17" i="13"/>
  <c r="AN19" i="13" s="1"/>
  <c r="G8" i="12"/>
  <c r="I60" i="56" s="1"/>
  <c r="AL71" i="41"/>
  <c r="AL72" i="41" s="1"/>
  <c r="H125" i="19"/>
  <c r="H114" i="19"/>
  <c r="H116" i="19"/>
  <c r="H118" i="19"/>
  <c r="H120" i="19"/>
  <c r="H122" i="19"/>
  <c r="H113" i="19"/>
  <c r="H115" i="19"/>
  <c r="H117" i="19"/>
  <c r="H119" i="19"/>
  <c r="H121" i="19"/>
  <c r="H123" i="19"/>
  <c r="H314" i="19"/>
  <c r="J41" i="32"/>
  <c r="J42" i="32"/>
  <c r="H315" i="19"/>
  <c r="H325" i="19"/>
  <c r="J52" i="32"/>
  <c r="AK32" i="8"/>
  <c r="AS103" i="22"/>
  <c r="AM12" i="8" s="1"/>
  <c r="AL10" i="11" s="1"/>
  <c r="AK9" i="11"/>
  <c r="G322" i="19"/>
  <c r="I49" i="32"/>
  <c r="H12" i="12"/>
  <c r="J64" i="56" s="1"/>
  <c r="AP11" i="13"/>
  <c r="J43" i="32" l="1"/>
  <c r="H326" i="19"/>
  <c r="J53" i="32"/>
  <c r="H316" i="19"/>
  <c r="H8" i="12"/>
  <c r="J60" i="56" s="1"/>
  <c r="G131" i="56" s="1"/>
  <c r="M3" i="51"/>
  <c r="L4" i="51"/>
  <c r="A78" i="43"/>
  <c r="B78" i="43" s="1"/>
  <c r="C77" i="43"/>
  <c r="D77" i="43" s="1"/>
  <c r="AO55" i="13"/>
  <c r="AO56" i="13" s="1"/>
  <c r="AR63" i="13"/>
  <c r="AQ58" i="13"/>
  <c r="AR50" i="13"/>
  <c r="AQ64" i="13"/>
  <c r="AP53" i="13"/>
  <c r="AP54" i="13" s="1"/>
  <c r="AP59" i="13"/>
  <c r="AO17" i="13"/>
  <c r="AO19" i="13" s="1"/>
  <c r="G14" i="12"/>
  <c r="I66" i="56" s="1"/>
  <c r="G318" i="19"/>
  <c r="I45" i="32"/>
  <c r="AP12" i="13"/>
  <c r="H48" i="10" s="1"/>
  <c r="AL9" i="11"/>
  <c r="AL32" i="8"/>
  <c r="G11" i="12"/>
  <c r="I63" i="56" s="1"/>
  <c r="AM11" i="15"/>
  <c r="H50" i="10" s="1"/>
  <c r="H322" i="19"/>
  <c r="J49" i="32"/>
  <c r="H318" i="19" l="1"/>
  <c r="J45" i="32"/>
  <c r="G114" i="32" s="1"/>
  <c r="M4" i="51"/>
  <c r="A79" i="43"/>
  <c r="B79" i="43" s="1"/>
  <c r="C78" i="43"/>
  <c r="D78" i="43" s="1"/>
  <c r="AP55" i="13"/>
  <c r="AP56" i="13" s="1"/>
  <c r="AS63" i="13"/>
  <c r="AS50" i="13"/>
  <c r="AS58" i="13" s="1"/>
  <c r="AR58" i="13"/>
  <c r="I51" i="32"/>
  <c r="G324" i="19"/>
  <c r="H14" i="12"/>
  <c r="J66" i="56" s="1"/>
  <c r="AP17" i="13"/>
  <c r="G13" i="12"/>
  <c r="I65" i="56" s="1"/>
  <c r="AM32" i="8"/>
  <c r="I48" i="32"/>
  <c r="H11" i="12"/>
  <c r="J63" i="56" s="1"/>
  <c r="G321" i="19"/>
  <c r="L7" i="51" l="1"/>
  <c r="M7" i="51" s="1"/>
  <c r="A80" i="43"/>
  <c r="B80" i="43" s="1"/>
  <c r="C79" i="43"/>
  <c r="D79" i="43" s="1"/>
  <c r="AP19" i="13"/>
  <c r="G323" i="19"/>
  <c r="H13" i="12"/>
  <c r="J65" i="56" s="1"/>
  <c r="I50" i="32"/>
  <c r="J51" i="32"/>
  <c r="H324" i="19"/>
  <c r="M5" i="41"/>
  <c r="M66" i="41" s="1"/>
  <c r="O5" i="41"/>
  <c r="O66" i="41" s="1"/>
  <c r="L5" i="41"/>
  <c r="L66" i="41" s="1"/>
  <c r="U5" i="41"/>
  <c r="U66" i="41" s="1"/>
  <c r="H5" i="41"/>
  <c r="H66" i="41" s="1"/>
  <c r="P5" i="41"/>
  <c r="P66" i="41" s="1"/>
  <c r="V5" i="41"/>
  <c r="V66" i="41" s="1"/>
  <c r="E5" i="41"/>
  <c r="E66" i="41" s="1"/>
  <c r="S5" i="41"/>
  <c r="S66" i="41" s="1"/>
  <c r="R5" i="41"/>
  <c r="R66" i="41" s="1"/>
  <c r="F5" i="41"/>
  <c r="F66" i="41" s="1"/>
  <c r="D5" i="41"/>
  <c r="D66" i="41" s="1"/>
  <c r="Q5" i="41"/>
  <c r="Q66" i="41" s="1"/>
  <c r="I5" i="41"/>
  <c r="I66" i="41" s="1"/>
  <c r="G5" i="41"/>
  <c r="G66" i="41" s="1"/>
  <c r="N5" i="41"/>
  <c r="N66" i="41" s="1"/>
  <c r="K5" i="41"/>
  <c r="K66" i="41" s="1"/>
  <c r="T5" i="41"/>
  <c r="T66" i="41" s="1"/>
  <c r="J5" i="41"/>
  <c r="J66" i="41" s="1"/>
  <c r="W5" i="41"/>
  <c r="W66" i="41" s="1"/>
  <c r="C5" i="41"/>
  <c r="C66" i="41" s="1"/>
  <c r="J48" i="32"/>
  <c r="H321" i="19"/>
  <c r="G10" i="12"/>
  <c r="L5" i="51" l="1"/>
  <c r="L8" i="51" s="1"/>
  <c r="M8" i="51" s="1"/>
  <c r="I62" i="56"/>
  <c r="A81" i="43"/>
  <c r="B81" i="43" s="1"/>
  <c r="C80" i="43"/>
  <c r="D80" i="43" s="1"/>
  <c r="J50" i="32"/>
  <c r="H323" i="19"/>
  <c r="I47" i="32"/>
  <c r="G320" i="19"/>
  <c r="H10" i="12"/>
  <c r="J62" i="56" s="1"/>
  <c r="M5" i="51" l="1"/>
  <c r="A82" i="43"/>
  <c r="B82" i="43" s="1"/>
  <c r="C81" i="43"/>
  <c r="D81" i="43" s="1"/>
  <c r="J47" i="32"/>
  <c r="H320" i="19"/>
  <c r="A83" i="43" l="1"/>
  <c r="B83" i="43" s="1"/>
  <c r="C82" i="43"/>
  <c r="D82" i="43" s="1"/>
  <c r="AQ26" i="2"/>
  <c r="A84" i="43" l="1"/>
  <c r="B84" i="43" s="1"/>
  <c r="C83" i="43"/>
  <c r="D83" i="43" s="1"/>
  <c r="AR26" i="2"/>
  <c r="AQ28" i="2"/>
  <c r="AR28" i="2" s="1"/>
  <c r="AQ29" i="2"/>
  <c r="AR29" i="2" s="1"/>
  <c r="AQ31" i="2"/>
  <c r="AR31" i="2" s="1"/>
  <c r="AQ30" i="2"/>
  <c r="AR30" i="2" s="1"/>
  <c r="AQ27" i="2"/>
  <c r="G38" i="2"/>
  <c r="C3" i="6"/>
  <c r="C8" i="6" s="1"/>
  <c r="C50" i="2" s="1"/>
  <c r="C3" i="15" l="1"/>
  <c r="E109" i="56" s="1"/>
  <c r="A85" i="43"/>
  <c r="B85" i="43" s="1"/>
  <c r="C84" i="43"/>
  <c r="D84" i="43" s="1"/>
  <c r="B11" i="6"/>
  <c r="AQ38" i="2"/>
  <c r="AR27" i="2"/>
  <c r="F38" i="2"/>
  <c r="H167" i="19" s="1"/>
  <c r="C5" i="15" l="1"/>
  <c r="E111" i="56" s="1"/>
  <c r="E344" i="19"/>
  <c r="E94" i="32"/>
  <c r="A86" i="43"/>
  <c r="B86" i="43" s="1"/>
  <c r="C85" i="43"/>
  <c r="D85" i="43" s="1"/>
  <c r="AR38" i="2"/>
  <c r="F45" i="2"/>
  <c r="C3" i="34" s="1"/>
  <c r="D38" i="8"/>
  <c r="AC51" i="14"/>
  <c r="X52" i="14"/>
  <c r="AL54" i="14"/>
  <c r="AH54" i="14"/>
  <c r="W50" i="14"/>
  <c r="W54" i="14"/>
  <c r="AC54" i="14"/>
  <c r="E51" i="14"/>
  <c r="C218" i="19"/>
  <c r="D80" i="32"/>
  <c r="AD54" i="14"/>
  <c r="J50" i="14"/>
  <c r="D81" i="32"/>
  <c r="C219" i="19"/>
  <c r="V54" i="14"/>
  <c r="AG50" i="14"/>
  <c r="I53" i="14"/>
  <c r="AF52" i="14"/>
  <c r="T50" i="14"/>
  <c r="Z53" i="14"/>
  <c r="AE54" i="14"/>
  <c r="O52" i="14"/>
  <c r="M52" i="14"/>
  <c r="AD52" i="14"/>
  <c r="AJ54" i="14"/>
  <c r="Q50" i="14"/>
  <c r="N53" i="14"/>
  <c r="E53" i="14"/>
  <c r="E50" i="14"/>
  <c r="N54" i="14"/>
  <c r="H51" i="14"/>
  <c r="R52" i="14"/>
  <c r="S52" i="14"/>
  <c r="AK53" i="14"/>
  <c r="D53" i="14"/>
  <c r="AH53" i="14"/>
  <c r="G51" i="14"/>
  <c r="X50" i="14"/>
  <c r="AD50" i="14"/>
  <c r="D89" i="32"/>
  <c r="C227" i="19"/>
  <c r="O50" i="14"/>
  <c r="R54" i="14"/>
  <c r="V53" i="14"/>
  <c r="G54" i="14"/>
  <c r="AC53" i="14"/>
  <c r="F50" i="14"/>
  <c r="AA51" i="14"/>
  <c r="L50" i="14"/>
  <c r="Y52" i="14"/>
  <c r="AI50" i="14"/>
  <c r="G52" i="14"/>
  <c r="AL53" i="14"/>
  <c r="AL52" i="14"/>
  <c r="X53" i="14"/>
  <c r="K51" i="14"/>
  <c r="V50" i="14"/>
  <c r="S50" i="14"/>
  <c r="T51" i="14"/>
  <c r="K52" i="14"/>
  <c r="I52" i="14"/>
  <c r="M51" i="14"/>
  <c r="AG52" i="14"/>
  <c r="AL50" i="14"/>
  <c r="J54" i="14"/>
  <c r="F52" i="14"/>
  <c r="M54" i="14"/>
  <c r="G53" i="14"/>
  <c r="R51" i="14"/>
  <c r="F51" i="14"/>
  <c r="S51" i="14"/>
  <c r="D50" i="14"/>
  <c r="D84" i="32"/>
  <c r="C222" i="19"/>
  <c r="P54" i="14"/>
  <c r="AE50" i="14"/>
  <c r="V52" i="14"/>
  <c r="O54" i="14"/>
  <c r="S53" i="14"/>
  <c r="AF51" i="14"/>
  <c r="AB54" i="14"/>
  <c r="D82" i="32"/>
  <c r="C220" i="19"/>
  <c r="AI53" i="14"/>
  <c r="Y51" i="14"/>
  <c r="AD53" i="14"/>
  <c r="N52" i="14"/>
  <c r="J53" i="14"/>
  <c r="P52" i="14"/>
  <c r="AI52" i="14"/>
  <c r="E54" i="14"/>
  <c r="Z52" i="14"/>
  <c r="AK50" i="14"/>
  <c r="P53" i="14"/>
  <c r="H50" i="14"/>
  <c r="Q51" i="14"/>
  <c r="C217" i="19"/>
  <c r="D79" i="32"/>
  <c r="I51" i="14"/>
  <c r="N51" i="14"/>
  <c r="I54" i="14"/>
  <c r="L53" i="14"/>
  <c r="AH52" i="14"/>
  <c r="L52" i="14"/>
  <c r="M53" i="14"/>
  <c r="N50" i="14"/>
  <c r="R53" i="14"/>
  <c r="T53" i="14"/>
  <c r="AI54" i="14"/>
  <c r="AF53" i="14"/>
  <c r="AF50" i="14"/>
  <c r="V51" i="14"/>
  <c r="E52" i="14"/>
  <c r="AH51" i="14"/>
  <c r="U50" i="14"/>
  <c r="AI51" i="14"/>
  <c r="AJ52" i="14"/>
  <c r="AK52" i="14"/>
  <c r="AB51" i="14"/>
  <c r="O51" i="14"/>
  <c r="AG51" i="14"/>
  <c r="J51" i="14"/>
  <c r="P50" i="14"/>
  <c r="R50" i="14"/>
  <c r="AA52" i="14"/>
  <c r="AL51" i="14"/>
  <c r="Q52" i="14"/>
  <c r="X54" i="14"/>
  <c r="H53" i="14"/>
  <c r="AJ53" i="14"/>
  <c r="AK54" i="14"/>
  <c r="T54" i="14"/>
  <c r="M50" i="14"/>
  <c r="Q54" i="14"/>
  <c r="L54" i="14"/>
  <c r="AK51" i="14"/>
  <c r="X51" i="14"/>
  <c r="F53" i="14"/>
  <c r="K53" i="14"/>
  <c r="AG53" i="14"/>
  <c r="T52" i="14"/>
  <c r="U54" i="14"/>
  <c r="O53" i="14"/>
  <c r="AC50" i="14"/>
  <c r="S54" i="14"/>
  <c r="AB53" i="14"/>
  <c r="U52" i="14"/>
  <c r="Z50" i="14"/>
  <c r="AA53" i="14"/>
  <c r="G50" i="14"/>
  <c r="C54" i="14"/>
  <c r="AA54" i="14"/>
  <c r="L51" i="14"/>
  <c r="J52" i="14"/>
  <c r="Y54" i="14"/>
  <c r="AC52" i="14"/>
  <c r="Z51" i="14"/>
  <c r="AE52" i="14"/>
  <c r="D52" i="14"/>
  <c r="W52" i="14"/>
  <c r="W51" i="14"/>
  <c r="AA50" i="14"/>
  <c r="Z54" i="14"/>
  <c r="P51" i="14"/>
  <c r="K54" i="14"/>
  <c r="AB52" i="14"/>
  <c r="AJ51" i="14"/>
  <c r="AE53" i="14"/>
  <c r="AB50" i="14"/>
  <c r="AD51" i="14"/>
  <c r="C51" i="14"/>
  <c r="AF54" i="14"/>
  <c r="AJ50" i="14"/>
  <c r="I50" i="14"/>
  <c r="H52" i="14"/>
  <c r="U51" i="14"/>
  <c r="H54" i="14"/>
  <c r="AE51" i="14"/>
  <c r="U53" i="14"/>
  <c r="AG54" i="14"/>
  <c r="D54" i="14"/>
  <c r="Y50" i="14"/>
  <c r="D51" i="14"/>
  <c r="F54" i="14"/>
  <c r="W53" i="14"/>
  <c r="AH50" i="14"/>
  <c r="Y53" i="14"/>
  <c r="K50" i="14"/>
  <c r="Q53" i="14"/>
  <c r="C12" i="6"/>
  <c r="H34" i="10" l="1"/>
  <c r="F34" i="10"/>
  <c r="D34" i="10"/>
  <c r="D37" i="10"/>
  <c r="E346" i="19"/>
  <c r="E96" i="32"/>
  <c r="D36" i="10"/>
  <c r="F36" i="10"/>
  <c r="H36" i="10"/>
  <c r="H35" i="10"/>
  <c r="F35" i="10"/>
  <c r="D35" i="10"/>
  <c r="H39" i="10"/>
  <c r="F39" i="10"/>
  <c r="D39" i="10"/>
  <c r="E99" i="56" s="1"/>
  <c r="A87" i="43"/>
  <c r="B87" i="43" s="1"/>
  <c r="C86" i="43"/>
  <c r="D86" i="43" s="1"/>
  <c r="C8" i="34"/>
  <c r="F50" i="2" s="1"/>
  <c r="B11" i="34"/>
  <c r="C12" i="34" s="1"/>
  <c r="C36" i="11"/>
  <c r="C32" i="15"/>
  <c r="C216" i="19"/>
  <c r="D78" i="32"/>
  <c r="F89" i="32"/>
  <c r="G227" i="19"/>
  <c r="E12" i="6"/>
  <c r="B12" i="6" s="1"/>
  <c r="D12" i="6" s="1"/>
  <c r="F12" i="6" s="1"/>
  <c r="J4" i="6"/>
  <c r="E89" i="32"/>
  <c r="E227" i="19"/>
  <c r="I227" i="19"/>
  <c r="G89" i="32"/>
  <c r="G99" i="56" l="1"/>
  <c r="G94" i="56"/>
  <c r="F95" i="56"/>
  <c r="G96" i="56"/>
  <c r="E97" i="56"/>
  <c r="E94" i="56"/>
  <c r="F99" i="56"/>
  <c r="F94" i="56"/>
  <c r="E95" i="56"/>
  <c r="G95" i="56"/>
  <c r="F96" i="56"/>
  <c r="E96" i="56"/>
  <c r="E222" i="19"/>
  <c r="E84" i="32"/>
  <c r="A88" i="43"/>
  <c r="B88" i="43" s="1"/>
  <c r="C87" i="43"/>
  <c r="D87" i="43" s="1"/>
  <c r="E12" i="34"/>
  <c r="B12" i="34" s="1"/>
  <c r="C13" i="34" s="1"/>
  <c r="E13" i="34" s="1"/>
  <c r="B13" i="34" s="1"/>
  <c r="C13" i="6"/>
  <c r="E13" i="6" s="1"/>
  <c r="B13" i="6" s="1"/>
  <c r="J6" i="6"/>
  <c r="F84" i="32"/>
  <c r="G222" i="19"/>
  <c r="H12" i="6"/>
  <c r="G12" i="6" s="1"/>
  <c r="J5" i="6"/>
  <c r="L12" i="34"/>
  <c r="J4" i="34" s="1"/>
  <c r="J6" i="34" s="1"/>
  <c r="K12" i="34"/>
  <c r="J1" i="34" s="1"/>
  <c r="A89" i="43" l="1"/>
  <c r="B89" i="43" s="1"/>
  <c r="C88" i="43"/>
  <c r="D88" i="43" s="1"/>
  <c r="H12" i="34"/>
  <c r="G12" i="34" s="1"/>
  <c r="D12" i="34"/>
  <c r="F12" i="34" s="1"/>
  <c r="C14" i="34"/>
  <c r="E14" i="34" s="1"/>
  <c r="B14" i="34" s="1"/>
  <c r="K4" i="6"/>
  <c r="C5" i="33"/>
  <c r="D13" i="6"/>
  <c r="F13" i="6" s="1"/>
  <c r="C14" i="6"/>
  <c r="E14" i="6" s="1"/>
  <c r="B14" i="6" s="1"/>
  <c r="C3" i="33"/>
  <c r="C34" i="15" s="1"/>
  <c r="L13" i="34"/>
  <c r="K4" i="34" s="1"/>
  <c r="K6" i="34" s="1"/>
  <c r="K13" i="34"/>
  <c r="M12" i="34"/>
  <c r="H13" i="6"/>
  <c r="G13" i="6" s="1"/>
  <c r="K5" i="6"/>
  <c r="H13" i="34"/>
  <c r="N12" i="34"/>
  <c r="J5" i="34" s="1"/>
  <c r="C4" i="33" s="1"/>
  <c r="C33" i="15" s="1"/>
  <c r="G84" i="32"/>
  <c r="I222" i="19"/>
  <c r="A90" i="43" l="1"/>
  <c r="B90" i="43" s="1"/>
  <c r="C89" i="43"/>
  <c r="D89" i="43" s="1"/>
  <c r="D13" i="34"/>
  <c r="F13" i="34" s="1"/>
  <c r="O12" i="34" s="1"/>
  <c r="C15" i="34"/>
  <c r="E15" i="34" s="1"/>
  <c r="B15" i="34" s="1"/>
  <c r="D39" i="8"/>
  <c r="C37" i="11" s="1"/>
  <c r="D3" i="33"/>
  <c r="D34" i="15" s="1"/>
  <c r="L4" i="6"/>
  <c r="D14" i="6"/>
  <c r="F14" i="6" s="1"/>
  <c r="C15" i="6"/>
  <c r="M4" i="6" s="1"/>
  <c r="H14" i="6"/>
  <c r="G14" i="6" s="1"/>
  <c r="L5" i="6"/>
  <c r="Q12" i="34"/>
  <c r="G13" i="34"/>
  <c r="P12" i="34" s="1"/>
  <c r="K6" i="6"/>
  <c r="K14" i="34"/>
  <c r="H14" i="34"/>
  <c r="N13" i="34"/>
  <c r="K5" i="34" s="1"/>
  <c r="K1" i="34" s="1"/>
  <c r="L14" i="34"/>
  <c r="L4" i="34" s="1"/>
  <c r="M13" i="34"/>
  <c r="A91" i="43" l="1"/>
  <c r="B91" i="43" s="1"/>
  <c r="C90" i="43"/>
  <c r="D90" i="43" s="1"/>
  <c r="D14" i="34"/>
  <c r="F14" i="34" s="1"/>
  <c r="O13" i="34" s="1"/>
  <c r="C16" i="34"/>
  <c r="E16" i="34" s="1"/>
  <c r="B16" i="34" s="1"/>
  <c r="E39" i="8"/>
  <c r="D37" i="11" s="1"/>
  <c r="E15" i="6"/>
  <c r="H15" i="34"/>
  <c r="N14" i="34"/>
  <c r="L5" i="34" s="1"/>
  <c r="E4" i="33" s="1"/>
  <c r="E33" i="15" s="1"/>
  <c r="E3" i="33"/>
  <c r="E34" i="15" s="1"/>
  <c r="K15" i="34"/>
  <c r="M14" i="34"/>
  <c r="D5" i="33"/>
  <c r="L6" i="6"/>
  <c r="Q13" i="34"/>
  <c r="G14" i="34"/>
  <c r="P13" i="34" s="1"/>
  <c r="L15" i="34"/>
  <c r="M4" i="34" s="1"/>
  <c r="D4" i="33"/>
  <c r="D33" i="15" s="1"/>
  <c r="A92" i="43" l="1"/>
  <c r="B92" i="43" s="1"/>
  <c r="C91" i="43"/>
  <c r="D91" i="43" s="1"/>
  <c r="D15" i="34"/>
  <c r="F15" i="34" s="1"/>
  <c r="O14" i="34" s="1"/>
  <c r="C17" i="34"/>
  <c r="E17" i="34" s="1"/>
  <c r="B17" i="34" s="1"/>
  <c r="H15" i="6"/>
  <c r="G15" i="6" s="1"/>
  <c r="B15" i="6"/>
  <c r="F39" i="8"/>
  <c r="E37" i="11" s="1"/>
  <c r="L1" i="34"/>
  <c r="L6" i="34" s="1"/>
  <c r="E5" i="33" s="1"/>
  <c r="M5" i="6"/>
  <c r="M6" i="6" s="1"/>
  <c r="L16" i="34"/>
  <c r="N4" i="34" s="1"/>
  <c r="H16" i="34"/>
  <c r="N15" i="34"/>
  <c r="M5" i="34" s="1"/>
  <c r="F3" i="33"/>
  <c r="F34" i="15" s="1"/>
  <c r="K16" i="34"/>
  <c r="M15" i="34"/>
  <c r="Q14" i="34"/>
  <c r="G15" i="34"/>
  <c r="P14" i="34" s="1"/>
  <c r="A93" i="43" l="1"/>
  <c r="B93" i="43" s="1"/>
  <c r="C92" i="43"/>
  <c r="D92" i="43" s="1"/>
  <c r="D16" i="34"/>
  <c r="F16" i="34" s="1"/>
  <c r="O15" i="34" s="1"/>
  <c r="C18" i="34"/>
  <c r="E18" i="34" s="1"/>
  <c r="B18" i="34" s="1"/>
  <c r="C16" i="6"/>
  <c r="D15" i="6"/>
  <c r="F15" i="6" s="1"/>
  <c r="G39" i="8"/>
  <c r="F37" i="11" s="1"/>
  <c r="M1" i="34"/>
  <c r="M6" i="34" s="1"/>
  <c r="F5" i="33" s="1"/>
  <c r="F4" i="33"/>
  <c r="F33" i="15" s="1"/>
  <c r="L17" i="34"/>
  <c r="O4" i="34" s="1"/>
  <c r="Q15" i="34"/>
  <c r="G16" i="34"/>
  <c r="P15" i="34" s="1"/>
  <c r="N16" i="34"/>
  <c r="N5" i="34" s="1"/>
  <c r="H17" i="34"/>
  <c r="K17" i="34"/>
  <c r="M16" i="34"/>
  <c r="A94" i="43" l="1"/>
  <c r="B94" i="43" s="1"/>
  <c r="C93" i="43"/>
  <c r="D93" i="43" s="1"/>
  <c r="D17" i="34"/>
  <c r="F17" i="34" s="1"/>
  <c r="O16" i="34" s="1"/>
  <c r="C19" i="34"/>
  <c r="E19" i="34" s="1"/>
  <c r="B19" i="34" s="1"/>
  <c r="E16" i="6"/>
  <c r="N4" i="6"/>
  <c r="G3" i="33" s="1"/>
  <c r="G34" i="15" s="1"/>
  <c r="N1" i="34"/>
  <c r="N6" i="34" s="1"/>
  <c r="L18" i="34"/>
  <c r="P4" i="34" s="1"/>
  <c r="M17" i="34"/>
  <c r="N17" i="34"/>
  <c r="O5" i="34" s="1"/>
  <c r="H18" i="34"/>
  <c r="K18" i="34"/>
  <c r="Q16" i="34"/>
  <c r="G17" i="34"/>
  <c r="P16" i="34" s="1"/>
  <c r="A95" i="43" l="1"/>
  <c r="B95" i="43" s="1"/>
  <c r="C94" i="43"/>
  <c r="D94" i="43" s="1"/>
  <c r="D18" i="34"/>
  <c r="F18" i="34" s="1"/>
  <c r="O17" i="34" s="1"/>
  <c r="C20" i="34"/>
  <c r="E20" i="34" s="1"/>
  <c r="B20" i="34" s="1"/>
  <c r="H39" i="8"/>
  <c r="G37" i="11" s="1"/>
  <c r="B16" i="6"/>
  <c r="N5" i="6"/>
  <c r="H16" i="6"/>
  <c r="G16" i="6" s="1"/>
  <c r="O1" i="34"/>
  <c r="O6" i="34" s="1"/>
  <c r="K19" i="34"/>
  <c r="M18" i="34"/>
  <c r="Q17" i="34"/>
  <c r="G18" i="34"/>
  <c r="P17" i="34" s="1"/>
  <c r="L19" i="34"/>
  <c r="Q4" i="34" s="1"/>
  <c r="H19" i="34"/>
  <c r="N18" i="34"/>
  <c r="P5" i="34" s="1"/>
  <c r="A96" i="43" l="1"/>
  <c r="B96" i="43" s="1"/>
  <c r="C95" i="43"/>
  <c r="D95" i="43" s="1"/>
  <c r="D19" i="34"/>
  <c r="F19" i="34" s="1"/>
  <c r="O18" i="34" s="1"/>
  <c r="C21" i="34"/>
  <c r="E21" i="34" s="1"/>
  <c r="B21" i="34" s="1"/>
  <c r="C17" i="6"/>
  <c r="D16" i="6"/>
  <c r="F16" i="6" s="1"/>
  <c r="N6" i="6"/>
  <c r="G4" i="33"/>
  <c r="G33" i="15" s="1"/>
  <c r="P1" i="34"/>
  <c r="P6" i="34" s="1"/>
  <c r="K20" i="34"/>
  <c r="M19" i="34"/>
  <c r="Q18" i="34"/>
  <c r="G19" i="34"/>
  <c r="P18" i="34" s="1"/>
  <c r="N19" i="34"/>
  <c r="Q5" i="34" s="1"/>
  <c r="H20" i="34"/>
  <c r="L20" i="34"/>
  <c r="R4" i="34" s="1"/>
  <c r="A97" i="43" l="1"/>
  <c r="B97" i="43" s="1"/>
  <c r="C96" i="43"/>
  <c r="D96" i="43" s="1"/>
  <c r="D20" i="34"/>
  <c r="F20" i="34" s="1"/>
  <c r="O19" i="34" s="1"/>
  <c r="C22" i="34"/>
  <c r="E22" i="34" s="1"/>
  <c r="B22" i="34" s="1"/>
  <c r="G5" i="33"/>
  <c r="O4" i="6"/>
  <c r="H3" i="33" s="1"/>
  <c r="E17" i="6"/>
  <c r="Q1" i="34"/>
  <c r="Q6" i="34" s="1"/>
  <c r="L21" i="34"/>
  <c r="S4" i="34" s="1"/>
  <c r="M20" i="34"/>
  <c r="H21" i="34"/>
  <c r="N20" i="34"/>
  <c r="R5" i="34" s="1"/>
  <c r="Q19" i="34"/>
  <c r="G20" i="34"/>
  <c r="P19" i="34" s="1"/>
  <c r="K21" i="34"/>
  <c r="A98" i="43" l="1"/>
  <c r="B98" i="43" s="1"/>
  <c r="C97" i="43"/>
  <c r="D97" i="43" s="1"/>
  <c r="D21" i="34"/>
  <c r="F21" i="34" s="1"/>
  <c r="O20" i="34" s="1"/>
  <c r="C23" i="34"/>
  <c r="E23" i="34" s="1"/>
  <c r="B23" i="34" s="1"/>
  <c r="D22" i="34"/>
  <c r="F22" i="34" s="1"/>
  <c r="O21" i="34" s="1"/>
  <c r="B17" i="6"/>
  <c r="O5" i="6"/>
  <c r="H17" i="6"/>
  <c r="G17" i="6" s="1"/>
  <c r="H34" i="15"/>
  <c r="I39" i="8"/>
  <c r="H37" i="11" s="1"/>
  <c r="R1" i="34"/>
  <c r="R6" i="34" s="1"/>
  <c r="L22" i="34"/>
  <c r="T4" i="34" s="1"/>
  <c r="N21" i="34"/>
  <c r="S5" i="34" s="1"/>
  <c r="H22" i="34"/>
  <c r="K22" i="34"/>
  <c r="M21" i="34"/>
  <c r="Q20" i="34"/>
  <c r="G21" i="34"/>
  <c r="P20" i="34" s="1"/>
  <c r="A99" i="43" l="1"/>
  <c r="B99" i="43" s="1"/>
  <c r="C98" i="43"/>
  <c r="D98" i="43" s="1"/>
  <c r="C24" i="34"/>
  <c r="E24" i="34" s="1"/>
  <c r="B24" i="34" s="1"/>
  <c r="D23" i="34"/>
  <c r="F23" i="34" s="1"/>
  <c r="O22" i="34" s="1"/>
  <c r="H4" i="33"/>
  <c r="H33" i="15" s="1"/>
  <c r="O6" i="6"/>
  <c r="C18" i="6"/>
  <c r="D17" i="6"/>
  <c r="F17" i="6" s="1"/>
  <c r="S1" i="34"/>
  <c r="S6" i="34" s="1"/>
  <c r="L23" i="34"/>
  <c r="U4" i="34" s="1"/>
  <c r="Q21" i="34"/>
  <c r="G22" i="34"/>
  <c r="P21" i="34" s="1"/>
  <c r="K23" i="34"/>
  <c r="M22" i="34"/>
  <c r="H23" i="34"/>
  <c r="N22" i="34"/>
  <c r="T5" i="34" s="1"/>
  <c r="A100" i="43" l="1"/>
  <c r="B100" i="43" s="1"/>
  <c r="C99" i="43"/>
  <c r="D99" i="43" s="1"/>
  <c r="D24" i="34"/>
  <c r="F24" i="34" s="1"/>
  <c r="O23" i="34" s="1"/>
  <c r="C25" i="34"/>
  <c r="E25" i="34" s="1"/>
  <c r="B25" i="34" s="1"/>
  <c r="H5" i="33"/>
  <c r="P4" i="6"/>
  <c r="I3" i="33" s="1"/>
  <c r="E18" i="6"/>
  <c r="T1" i="34"/>
  <c r="T6" i="34" s="1"/>
  <c r="L24" i="34"/>
  <c r="V4" i="34" s="1"/>
  <c r="Q22" i="34"/>
  <c r="G23" i="34"/>
  <c r="P22" i="34" s="1"/>
  <c r="K24" i="34"/>
  <c r="J7" i="34" s="1"/>
  <c r="J8" i="34" s="1"/>
  <c r="M23" i="34"/>
  <c r="N23" i="34"/>
  <c r="U5" i="34" s="1"/>
  <c r="H24" i="34"/>
  <c r="A101" i="43" l="1"/>
  <c r="B101" i="43" s="1"/>
  <c r="C100" i="43"/>
  <c r="D100" i="43" s="1"/>
  <c r="D25" i="34"/>
  <c r="F25" i="34" s="1"/>
  <c r="O24" i="34" s="1"/>
  <c r="C26" i="34"/>
  <c r="E26" i="34" s="1"/>
  <c r="B26" i="34" s="1"/>
  <c r="B18" i="6"/>
  <c r="P5" i="6"/>
  <c r="H18" i="6"/>
  <c r="G18" i="6" s="1"/>
  <c r="J39" i="8"/>
  <c r="I37" i="11" s="1"/>
  <c r="I34" i="15"/>
  <c r="U1" i="34"/>
  <c r="U6" i="34" s="1"/>
  <c r="K25" i="34"/>
  <c r="K7" i="34" s="1"/>
  <c r="K8" i="34" s="1"/>
  <c r="M24" i="34"/>
  <c r="Q23" i="34"/>
  <c r="G24" i="34"/>
  <c r="P23" i="34" s="1"/>
  <c r="L25" i="34"/>
  <c r="W4" i="34" s="1"/>
  <c r="H25" i="34"/>
  <c r="N24" i="34"/>
  <c r="V5" i="34" s="1"/>
  <c r="A102" i="43" l="1"/>
  <c r="B102" i="43" s="1"/>
  <c r="C101" i="43"/>
  <c r="D101" i="43" s="1"/>
  <c r="C27" i="34"/>
  <c r="E27" i="34" s="1"/>
  <c r="B27" i="34" s="1"/>
  <c r="D26" i="34"/>
  <c r="F26" i="34" s="1"/>
  <c r="O25" i="34" s="1"/>
  <c r="I4" i="33"/>
  <c r="I33" i="15" s="1"/>
  <c r="P6" i="6"/>
  <c r="I5" i="33" s="1"/>
  <c r="D18" i="6"/>
  <c r="F18" i="6" s="1"/>
  <c r="C19" i="6"/>
  <c r="V1" i="34"/>
  <c r="V6" i="34" s="1"/>
  <c r="H26" i="34"/>
  <c r="N25" i="34"/>
  <c r="W5" i="34" s="1"/>
  <c r="K26" i="34"/>
  <c r="L7" i="34" s="1"/>
  <c r="L8" i="34" s="1"/>
  <c r="M25" i="34"/>
  <c r="Q24" i="34"/>
  <c r="G25" i="34"/>
  <c r="P24" i="34" s="1"/>
  <c r="L26" i="34"/>
  <c r="X4" i="34" s="1"/>
  <c r="A103" i="43" l="1"/>
  <c r="B103" i="43" s="1"/>
  <c r="C102" i="43"/>
  <c r="D102" i="43" s="1"/>
  <c r="D27" i="34"/>
  <c r="F27" i="34" s="1"/>
  <c r="O26" i="34" s="1"/>
  <c r="C28" i="34"/>
  <c r="E28" i="34" s="1"/>
  <c r="B28" i="34" s="1"/>
  <c r="Q4" i="6"/>
  <c r="J3" i="33" s="1"/>
  <c r="E19" i="6"/>
  <c r="W1" i="34"/>
  <c r="W6" i="34" s="1"/>
  <c r="N26" i="34"/>
  <c r="X5" i="34" s="1"/>
  <c r="H27" i="34"/>
  <c r="L27" i="34"/>
  <c r="Y4" i="34" s="1"/>
  <c r="M26" i="34"/>
  <c r="K27" i="34"/>
  <c r="M7" i="34" s="1"/>
  <c r="M8" i="34" s="1"/>
  <c r="Q25" i="34"/>
  <c r="G26" i="34"/>
  <c r="P25" i="34" s="1"/>
  <c r="A104" i="43" l="1"/>
  <c r="B104" i="43" s="1"/>
  <c r="C103" i="43"/>
  <c r="D103" i="43" s="1"/>
  <c r="C29" i="34"/>
  <c r="E29" i="34" s="1"/>
  <c r="B29" i="34" s="1"/>
  <c r="D28" i="34"/>
  <c r="F28" i="34" s="1"/>
  <c r="O27" i="34" s="1"/>
  <c r="B19" i="6"/>
  <c r="Q5" i="6"/>
  <c r="H19" i="6"/>
  <c r="G19" i="6" s="1"/>
  <c r="J34" i="15"/>
  <c r="K39" i="8"/>
  <c r="J37" i="11" s="1"/>
  <c r="X1" i="34"/>
  <c r="X6" i="34" s="1"/>
  <c r="M27" i="34"/>
  <c r="K28" i="34"/>
  <c r="N7" i="34" s="1"/>
  <c r="N8" i="34" s="1"/>
  <c r="L28" i="34"/>
  <c r="Z4" i="34" s="1"/>
  <c r="N27" i="34"/>
  <c r="Y5" i="34" s="1"/>
  <c r="H28" i="34"/>
  <c r="Q26" i="34"/>
  <c r="G27" i="34"/>
  <c r="P26" i="34" s="1"/>
  <c r="A105" i="43" l="1"/>
  <c r="B105" i="43" s="1"/>
  <c r="C104" i="43"/>
  <c r="D104" i="43" s="1"/>
  <c r="C30" i="34"/>
  <c r="E30" i="34" s="1"/>
  <c r="B30" i="34" s="1"/>
  <c r="D29" i="34"/>
  <c r="F29" i="34" s="1"/>
  <c r="O28" i="34" s="1"/>
  <c r="Q6" i="6"/>
  <c r="J5" i="33" s="1"/>
  <c r="J4" i="33"/>
  <c r="J33" i="15" s="1"/>
  <c r="D19" i="6"/>
  <c r="F19" i="6" s="1"/>
  <c r="C20" i="6"/>
  <c r="Y1" i="34"/>
  <c r="Y6" i="34" s="1"/>
  <c r="Q27" i="34"/>
  <c r="G28" i="34"/>
  <c r="P27" i="34" s="1"/>
  <c r="K29" i="34"/>
  <c r="O7" i="34" s="1"/>
  <c r="O8" i="34" s="1"/>
  <c r="M28" i="34"/>
  <c r="H29" i="34"/>
  <c r="N28" i="34"/>
  <c r="Z5" i="34" s="1"/>
  <c r="L29" i="34"/>
  <c r="AA4" i="34" s="1"/>
  <c r="A106" i="43" l="1"/>
  <c r="B106" i="43" s="1"/>
  <c r="C105" i="43"/>
  <c r="D105" i="43" s="1"/>
  <c r="D30" i="34"/>
  <c r="F30" i="34" s="1"/>
  <c r="O29" i="34" s="1"/>
  <c r="C31" i="34"/>
  <c r="E31" i="34" s="1"/>
  <c r="B31" i="34" s="1"/>
  <c r="R4" i="6"/>
  <c r="K3" i="33" s="1"/>
  <c r="E20" i="6"/>
  <c r="Z1" i="34"/>
  <c r="Z6" i="34" s="1"/>
  <c r="L30" i="34"/>
  <c r="AB4" i="34" s="1"/>
  <c r="N29" i="34"/>
  <c r="AA5" i="34" s="1"/>
  <c r="H30" i="34"/>
  <c r="Q28" i="34"/>
  <c r="G29" i="34"/>
  <c r="P28" i="34" s="1"/>
  <c r="K30" i="34"/>
  <c r="P7" i="34" s="1"/>
  <c r="P8" i="34" s="1"/>
  <c r="M29" i="34"/>
  <c r="A107" i="43" l="1"/>
  <c r="B107" i="43" s="1"/>
  <c r="C106" i="43"/>
  <c r="D106" i="43" s="1"/>
  <c r="D31" i="34"/>
  <c r="F31" i="34" s="1"/>
  <c r="O30" i="34" s="1"/>
  <c r="C32" i="34"/>
  <c r="E32" i="34" s="1"/>
  <c r="B32" i="34" s="1"/>
  <c r="B20" i="6"/>
  <c r="R5" i="6"/>
  <c r="H20" i="6"/>
  <c r="G20" i="6" s="1"/>
  <c r="K34" i="15"/>
  <c r="L39" i="8"/>
  <c r="K37" i="11" s="1"/>
  <c r="AA1" i="34"/>
  <c r="AA6" i="34" s="1"/>
  <c r="L31" i="34"/>
  <c r="AC4" i="34" s="1"/>
  <c r="M30" i="34"/>
  <c r="Q29" i="34"/>
  <c r="G30" i="34"/>
  <c r="P29" i="34" s="1"/>
  <c r="H31" i="34"/>
  <c r="N30" i="34"/>
  <c r="AB5" i="34" s="1"/>
  <c r="K31" i="34"/>
  <c r="Q7" i="34" s="1"/>
  <c r="Q8" i="34" s="1"/>
  <c r="A108" i="43" l="1"/>
  <c r="B108" i="43" s="1"/>
  <c r="C107" i="43"/>
  <c r="D107" i="43" s="1"/>
  <c r="C33" i="34"/>
  <c r="E33" i="34" s="1"/>
  <c r="B33" i="34" s="1"/>
  <c r="D32" i="34"/>
  <c r="F32" i="34" s="1"/>
  <c r="O31" i="34" s="1"/>
  <c r="R6" i="6"/>
  <c r="K5" i="33" s="1"/>
  <c r="K4" i="33"/>
  <c r="K33" i="15" s="1"/>
  <c r="C21" i="6"/>
  <c r="D20" i="6"/>
  <c r="F20" i="6" s="1"/>
  <c r="AB1" i="34"/>
  <c r="AB6" i="34" s="1"/>
  <c r="L32" i="34"/>
  <c r="AD4" i="34" s="1"/>
  <c r="Q30" i="34"/>
  <c r="G31" i="34"/>
  <c r="P30" i="34" s="1"/>
  <c r="H32" i="34"/>
  <c r="N31" i="34"/>
  <c r="AC5" i="34" s="1"/>
  <c r="K32" i="34"/>
  <c r="R7" i="34" s="1"/>
  <c r="R8" i="34" s="1"/>
  <c r="M31" i="34"/>
  <c r="AC1" i="34" l="1"/>
  <c r="AC6" i="34" s="1"/>
  <c r="A109" i="43"/>
  <c r="B109" i="43" s="1"/>
  <c r="C108" i="43"/>
  <c r="D108" i="43" s="1"/>
  <c r="D33" i="34"/>
  <c r="F33" i="34" s="1"/>
  <c r="O32" i="34" s="1"/>
  <c r="C34" i="34"/>
  <c r="E34" i="34" s="1"/>
  <c r="B34" i="34" s="1"/>
  <c r="E21" i="6"/>
  <c r="S4" i="6"/>
  <c r="L3" i="33" s="1"/>
  <c r="K33" i="34"/>
  <c r="S7" i="34" s="1"/>
  <c r="S8" i="34" s="1"/>
  <c r="L33" i="34"/>
  <c r="AE4" i="34" s="1"/>
  <c r="M32" i="34"/>
  <c r="Q31" i="34"/>
  <c r="G32" i="34"/>
  <c r="P31" i="34" s="1"/>
  <c r="N32" i="34"/>
  <c r="AD5" i="34" s="1"/>
  <c r="AD1" i="34" s="1"/>
  <c r="AD6" i="34" s="1"/>
  <c r="H33" i="34"/>
  <c r="A110" i="43" l="1"/>
  <c r="B110" i="43" s="1"/>
  <c r="C109" i="43"/>
  <c r="D109" i="43" s="1"/>
  <c r="D34" i="34"/>
  <c r="F34" i="34" s="1"/>
  <c r="O33" i="34" s="1"/>
  <c r="C35" i="34"/>
  <c r="E35" i="34" s="1"/>
  <c r="B35" i="34" s="1"/>
  <c r="L34" i="15"/>
  <c r="M39" i="8"/>
  <c r="L37" i="11" s="1"/>
  <c r="B21" i="6"/>
  <c r="S5" i="6"/>
  <c r="H21" i="6"/>
  <c r="G21" i="6" s="1"/>
  <c r="Q32" i="34"/>
  <c r="G33" i="34"/>
  <c r="P32" i="34" s="1"/>
  <c r="N33" i="34"/>
  <c r="AE5" i="34" s="1"/>
  <c r="AE1" i="34" s="1"/>
  <c r="AE6" i="34" s="1"/>
  <c r="H34" i="34"/>
  <c r="L34" i="34"/>
  <c r="AF4" i="34" s="1"/>
  <c r="M33" i="34"/>
  <c r="K34" i="34"/>
  <c r="T7" i="34" s="1"/>
  <c r="T8" i="34" s="1"/>
  <c r="A111" i="43" l="1"/>
  <c r="B111" i="43" s="1"/>
  <c r="C110" i="43"/>
  <c r="D110" i="43" s="1"/>
  <c r="C36" i="34"/>
  <c r="E36" i="34" s="1"/>
  <c r="B36" i="34" s="1"/>
  <c r="D35" i="34"/>
  <c r="F35" i="34" s="1"/>
  <c r="O34" i="34" s="1"/>
  <c r="S6" i="6"/>
  <c r="L5" i="33" s="1"/>
  <c r="L4" i="33"/>
  <c r="L33" i="15" s="1"/>
  <c r="D21" i="6"/>
  <c r="F21" i="6" s="1"/>
  <c r="C22" i="6"/>
  <c r="M34" i="34"/>
  <c r="K35" i="34"/>
  <c r="U7" i="34" s="1"/>
  <c r="U8" i="34" s="1"/>
  <c r="L35" i="34"/>
  <c r="AG4" i="34" s="1"/>
  <c r="N34" i="34"/>
  <c r="AF5" i="34" s="1"/>
  <c r="H35" i="34"/>
  <c r="Q33" i="34"/>
  <c r="G34" i="34"/>
  <c r="P33" i="34" s="1"/>
  <c r="C111" i="43" l="1"/>
  <c r="D111" i="43" s="1"/>
  <c r="A112" i="43"/>
  <c r="B112" i="43" s="1"/>
  <c r="D36" i="34"/>
  <c r="F36" i="34" s="1"/>
  <c r="O35" i="34" s="1"/>
  <c r="C37" i="34"/>
  <c r="E37" i="34" s="1"/>
  <c r="B37" i="34" s="1"/>
  <c r="E22" i="6"/>
  <c r="T4" i="6"/>
  <c r="M3" i="33" s="1"/>
  <c r="K36" i="34"/>
  <c r="V7" i="34" s="1"/>
  <c r="V8" i="34" s="1"/>
  <c r="AF1" i="34"/>
  <c r="AF6" i="34" s="1"/>
  <c r="Q34" i="34"/>
  <c r="G35" i="34"/>
  <c r="P34" i="34" s="1"/>
  <c r="H36" i="34"/>
  <c r="N35" i="34"/>
  <c r="AG5" i="34" s="1"/>
  <c r="L36" i="34"/>
  <c r="AH4" i="34" s="1"/>
  <c r="M35" i="34"/>
  <c r="A113" i="43" l="1"/>
  <c r="B113" i="43" s="1"/>
  <c r="C112" i="43"/>
  <c r="D112" i="43" s="1"/>
  <c r="C38" i="34"/>
  <c r="E38" i="34" s="1"/>
  <c r="B38" i="34" s="1"/>
  <c r="D37" i="34"/>
  <c r="F37" i="34" s="1"/>
  <c r="O36" i="34" s="1"/>
  <c r="M34" i="15"/>
  <c r="N39" i="8"/>
  <c r="M37" i="11" s="1"/>
  <c r="H22" i="6"/>
  <c r="G22" i="6" s="1"/>
  <c r="T5" i="6"/>
  <c r="B22" i="6"/>
  <c r="N36" i="34"/>
  <c r="AH5" i="34" s="1"/>
  <c r="H37" i="34"/>
  <c r="Q35" i="34"/>
  <c r="G36" i="34"/>
  <c r="P35" i="34" s="1"/>
  <c r="K37" i="34"/>
  <c r="W7" i="34" s="1"/>
  <c r="W8" i="34" s="1"/>
  <c r="M36" i="34"/>
  <c r="AG1" i="34"/>
  <c r="AG6" i="34" s="1"/>
  <c r="L37" i="34"/>
  <c r="AI4" i="34" s="1"/>
  <c r="C113" i="43" l="1"/>
  <c r="D113" i="43" s="1"/>
  <c r="A114" i="43"/>
  <c r="B114" i="43" s="1"/>
  <c r="D38" i="34"/>
  <c r="F38" i="34" s="1"/>
  <c r="O37" i="34" s="1"/>
  <c r="C39" i="34"/>
  <c r="E39" i="34" s="1"/>
  <c r="B39" i="34" s="1"/>
  <c r="T6" i="6"/>
  <c r="M4" i="33"/>
  <c r="M33" i="15" s="1"/>
  <c r="C23" i="6"/>
  <c r="D22" i="6"/>
  <c r="F22" i="6" s="1"/>
  <c r="AH1" i="34"/>
  <c r="AH6" i="34" s="1"/>
  <c r="H38" i="34"/>
  <c r="N37" i="34"/>
  <c r="AI5" i="34" s="1"/>
  <c r="K38" i="34"/>
  <c r="X7" i="34" s="1"/>
  <c r="X8" i="34" s="1"/>
  <c r="M37" i="34"/>
  <c r="Q36" i="34"/>
  <c r="G37" i="34"/>
  <c r="P36" i="34" s="1"/>
  <c r="L38" i="34"/>
  <c r="AJ4" i="34" s="1"/>
  <c r="A115" i="43" l="1"/>
  <c r="B115" i="43" s="1"/>
  <c r="C114" i="43"/>
  <c r="D114" i="43" s="1"/>
  <c r="D39" i="34"/>
  <c r="F39" i="34" s="1"/>
  <c r="O38" i="34" s="1"/>
  <c r="C40" i="34"/>
  <c r="E40" i="34" s="1"/>
  <c r="B40" i="34" s="1"/>
  <c r="U4" i="6"/>
  <c r="N3" i="33" s="1"/>
  <c r="E23" i="6"/>
  <c r="M5" i="33"/>
  <c r="AI1" i="34"/>
  <c r="AI6" i="34" s="1"/>
  <c r="H39" i="34"/>
  <c r="N38" i="34"/>
  <c r="AJ5" i="34" s="1"/>
  <c r="K39" i="34"/>
  <c r="Y7" i="34" s="1"/>
  <c r="Y8" i="34" s="1"/>
  <c r="M38" i="34"/>
  <c r="Q37" i="34"/>
  <c r="G38" i="34"/>
  <c r="P37" i="34" s="1"/>
  <c r="L39" i="34"/>
  <c r="AK4" i="34" s="1"/>
  <c r="A116" i="43" l="1"/>
  <c r="B116" i="43" s="1"/>
  <c r="C115" i="43"/>
  <c r="D115" i="43" s="1"/>
  <c r="D40" i="34"/>
  <c r="F40" i="34" s="1"/>
  <c r="O39" i="34" s="1"/>
  <c r="C41" i="34"/>
  <c r="E41" i="34" s="1"/>
  <c r="B41" i="34" s="1"/>
  <c r="H23" i="6"/>
  <c r="G23" i="6" s="1"/>
  <c r="U5" i="6"/>
  <c r="B23" i="6"/>
  <c r="N34" i="15"/>
  <c r="O39" i="8"/>
  <c r="N37" i="11" s="1"/>
  <c r="C19" i="12" s="1"/>
  <c r="E71" i="56" s="1"/>
  <c r="AJ1" i="34"/>
  <c r="AJ6" i="34" s="1"/>
  <c r="K40" i="34"/>
  <c r="Z7" i="34" s="1"/>
  <c r="Z8" i="34" s="1"/>
  <c r="Q38" i="34"/>
  <c r="G39" i="34"/>
  <c r="P38" i="34" s="1"/>
  <c r="H40" i="34"/>
  <c r="N39" i="34"/>
  <c r="AK5" i="34" s="1"/>
  <c r="L40" i="34"/>
  <c r="AL4" i="34" s="1"/>
  <c r="M39" i="34"/>
  <c r="H10" i="51" l="1"/>
  <c r="A117" i="43"/>
  <c r="B117" i="43" s="1"/>
  <c r="C116" i="43"/>
  <c r="D116" i="43" s="1"/>
  <c r="D41" i="34"/>
  <c r="F41" i="34" s="1"/>
  <c r="O40" i="34" s="1"/>
  <c r="C42" i="34"/>
  <c r="E42" i="34" s="1"/>
  <c r="B42" i="34" s="1"/>
  <c r="N4" i="33"/>
  <c r="N33" i="15" s="1"/>
  <c r="U6" i="6"/>
  <c r="D23" i="6"/>
  <c r="F23" i="6" s="1"/>
  <c r="C24" i="6"/>
  <c r="AK1" i="34"/>
  <c r="AK6" i="34" s="1"/>
  <c r="N40" i="34"/>
  <c r="AL5" i="34" s="1"/>
  <c r="H41" i="34"/>
  <c r="Q39" i="34"/>
  <c r="G40" i="34"/>
  <c r="P39" i="34" s="1"/>
  <c r="K41" i="34"/>
  <c r="AA7" i="34" s="1"/>
  <c r="AA8" i="34" s="1"/>
  <c r="L41" i="34"/>
  <c r="AM4" i="34" s="1"/>
  <c r="M40" i="34"/>
  <c r="A118" i="43" l="1"/>
  <c r="B118" i="43" s="1"/>
  <c r="C117" i="43"/>
  <c r="D117" i="43" s="1"/>
  <c r="D42" i="34"/>
  <c r="F42" i="34" s="1"/>
  <c r="O41" i="34" s="1"/>
  <c r="C43" i="34"/>
  <c r="E43" i="34" s="1"/>
  <c r="B43" i="34" s="1"/>
  <c r="AL1" i="34"/>
  <c r="AL6" i="34" s="1"/>
  <c r="E24" i="6"/>
  <c r="V4" i="6"/>
  <c r="O3" i="33" s="1"/>
  <c r="N5" i="33"/>
  <c r="H42" i="34"/>
  <c r="N41" i="34"/>
  <c r="AM5" i="34" s="1"/>
  <c r="K42" i="34"/>
  <c r="AB7" i="34" s="1"/>
  <c r="AB8" i="34" s="1"/>
  <c r="M41" i="34"/>
  <c r="L42" i="34"/>
  <c r="AN4" i="34" s="1"/>
  <c r="Q40" i="34"/>
  <c r="G41" i="34"/>
  <c r="P40" i="34" s="1"/>
  <c r="A119" i="43" l="1"/>
  <c r="B119" i="43" s="1"/>
  <c r="C118" i="43"/>
  <c r="D118" i="43" s="1"/>
  <c r="D43" i="34"/>
  <c r="F43" i="34" s="1"/>
  <c r="O42" i="34" s="1"/>
  <c r="C44" i="34"/>
  <c r="E44" i="34" s="1"/>
  <c r="B44" i="34" s="1"/>
  <c r="AM1" i="34"/>
  <c r="AM6" i="34" s="1"/>
  <c r="O34" i="15"/>
  <c r="P39" i="8"/>
  <c r="O37" i="11" s="1"/>
  <c r="H24" i="6"/>
  <c r="G24" i="6" s="1"/>
  <c r="V5" i="6"/>
  <c r="B24" i="6"/>
  <c r="M42" i="34"/>
  <c r="N42" i="34"/>
  <c r="AN5" i="34" s="1"/>
  <c r="H43" i="34"/>
  <c r="K43" i="34"/>
  <c r="AC7" i="34" s="1"/>
  <c r="AC8" i="34" s="1"/>
  <c r="L43" i="34"/>
  <c r="AO4" i="34" s="1"/>
  <c r="Q41" i="34"/>
  <c r="G42" i="34"/>
  <c r="P41" i="34" s="1"/>
  <c r="C119" i="43" l="1"/>
  <c r="D119" i="43" s="1"/>
  <c r="A120" i="43"/>
  <c r="B120" i="43" s="1"/>
  <c r="AN1" i="34"/>
  <c r="AN6" i="34" s="1"/>
  <c r="C45" i="34"/>
  <c r="E45" i="34" s="1"/>
  <c r="B45" i="34" s="1"/>
  <c r="D44" i="34"/>
  <c r="F44" i="34" s="1"/>
  <c r="O43" i="34" s="1"/>
  <c r="O4" i="33"/>
  <c r="O33" i="15" s="1"/>
  <c r="V6" i="6"/>
  <c r="D24" i="6"/>
  <c r="F24" i="6" s="1"/>
  <c r="C25" i="6"/>
  <c r="J7" i="6"/>
  <c r="B41" i="10" s="1"/>
  <c r="K44" i="34"/>
  <c r="AD7" i="34" s="1"/>
  <c r="AD8" i="34" s="1"/>
  <c r="M43" i="34"/>
  <c r="Q42" i="34"/>
  <c r="G43" i="34"/>
  <c r="P42" i="34" s="1"/>
  <c r="H44" i="34"/>
  <c r="N43" i="34"/>
  <c r="AO5" i="34" s="1"/>
  <c r="L44" i="34"/>
  <c r="AP4" i="34" s="1"/>
  <c r="D101" i="56" l="1"/>
  <c r="B40" i="10"/>
  <c r="D100" i="56" s="1"/>
  <c r="AO1" i="34"/>
  <c r="AO6" i="34" s="1"/>
  <c r="C120" i="43"/>
  <c r="D120" i="43" s="1"/>
  <c r="A121" i="43"/>
  <c r="B121" i="43" s="1"/>
  <c r="D45" i="34"/>
  <c r="F45" i="34" s="1"/>
  <c r="O44" i="34" s="1"/>
  <c r="C46" i="34"/>
  <c r="E46" i="34" s="1"/>
  <c r="B46" i="34" s="1"/>
  <c r="E25" i="6"/>
  <c r="W4" i="6"/>
  <c r="P3" i="33" s="1"/>
  <c r="O5" i="33"/>
  <c r="J8" i="6"/>
  <c r="B43" i="10" s="1"/>
  <c r="C6" i="33"/>
  <c r="Q43" i="34"/>
  <c r="G44" i="34"/>
  <c r="P43" i="34" s="1"/>
  <c r="L45" i="34"/>
  <c r="AQ4" i="34" s="1"/>
  <c r="M44" i="34"/>
  <c r="N44" i="34"/>
  <c r="AP5" i="34" s="1"/>
  <c r="H45" i="34"/>
  <c r="K45" i="34"/>
  <c r="AE7" i="34" s="1"/>
  <c r="AE8" i="34" s="1"/>
  <c r="D103" i="56" l="1"/>
  <c r="B42" i="10"/>
  <c r="AP1" i="34"/>
  <c r="AP6" i="34" s="1"/>
  <c r="C121" i="43"/>
  <c r="D121" i="43" s="1"/>
  <c r="A122" i="43"/>
  <c r="B122" i="43" s="1"/>
  <c r="C47" i="34"/>
  <c r="E47" i="34" s="1"/>
  <c r="B47" i="34" s="1"/>
  <c r="D46" i="34"/>
  <c r="F46" i="34" s="1"/>
  <c r="O45" i="34" s="1"/>
  <c r="C7" i="33"/>
  <c r="P34" i="15"/>
  <c r="Q39" i="8"/>
  <c r="P37" i="11" s="1"/>
  <c r="W5" i="6"/>
  <c r="H25" i="6"/>
  <c r="G25" i="6" s="1"/>
  <c r="B25" i="6"/>
  <c r="M45" i="34"/>
  <c r="Q44" i="34"/>
  <c r="G45" i="34"/>
  <c r="P44" i="34" s="1"/>
  <c r="K46" i="34"/>
  <c r="AF7" i="34" s="1"/>
  <c r="AF8" i="34" s="1"/>
  <c r="L46" i="34"/>
  <c r="AR4" i="34" s="1"/>
  <c r="H46" i="34"/>
  <c r="N45" i="34"/>
  <c r="AQ5" i="34" s="1"/>
  <c r="D102" i="56" l="1"/>
  <c r="D106" i="56" s="1"/>
  <c r="B51" i="10"/>
  <c r="AQ1" i="34"/>
  <c r="AQ6" i="34" s="1"/>
  <c r="C122" i="43"/>
  <c r="D122" i="43" s="1"/>
  <c r="A123" i="43"/>
  <c r="B123" i="43" s="1"/>
  <c r="D47" i="34"/>
  <c r="F47" i="34" s="1"/>
  <c r="O46" i="34" s="1"/>
  <c r="C48" i="34"/>
  <c r="E48" i="34" s="1"/>
  <c r="B48" i="34" s="1"/>
  <c r="C26" i="6"/>
  <c r="D25" i="6"/>
  <c r="F25" i="6" s="1"/>
  <c r="K7" i="6"/>
  <c r="P4" i="33"/>
  <c r="P33" i="15" s="1"/>
  <c r="W6" i="6"/>
  <c r="N46" i="34"/>
  <c r="AR5" i="34" s="1"/>
  <c r="H47" i="34"/>
  <c r="L47" i="34"/>
  <c r="AS4" i="34" s="1"/>
  <c r="M46" i="34"/>
  <c r="Q45" i="34"/>
  <c r="G46" i="34"/>
  <c r="P45" i="34" s="1"/>
  <c r="K47" i="34"/>
  <c r="AG7" i="34" s="1"/>
  <c r="AG8" i="34" s="1"/>
  <c r="AR1" i="34" l="1"/>
  <c r="AR6" i="34" s="1"/>
  <c r="C123" i="43"/>
  <c r="D123" i="43" s="1"/>
  <c r="A124" i="43"/>
  <c r="B124" i="43" s="1"/>
  <c r="D48" i="34"/>
  <c r="F48" i="34" s="1"/>
  <c r="O47" i="34" s="1"/>
  <c r="C49" i="34"/>
  <c r="E49" i="34" s="1"/>
  <c r="B49" i="34" s="1"/>
  <c r="E26" i="6"/>
  <c r="X4" i="6"/>
  <c r="Q3" i="33" s="1"/>
  <c r="P5" i="33"/>
  <c r="K8" i="6"/>
  <c r="D7" i="33" s="1"/>
  <c r="D6" i="33"/>
  <c r="K48" i="34"/>
  <c r="AH7" i="34" s="1"/>
  <c r="AH8" i="34" s="1"/>
  <c r="N47" i="34"/>
  <c r="AS5" i="34" s="1"/>
  <c r="H48" i="34"/>
  <c r="L48" i="34"/>
  <c r="M47" i="34"/>
  <c r="Q46" i="34"/>
  <c r="G47" i="34"/>
  <c r="P46" i="34" s="1"/>
  <c r="AS1" i="34" l="1"/>
  <c r="AS6" i="34" s="1"/>
  <c r="C124" i="43"/>
  <c r="D124" i="43" s="1"/>
  <c r="A125" i="43"/>
  <c r="B125" i="43" s="1"/>
  <c r="D49" i="34"/>
  <c r="F49" i="34" s="1"/>
  <c r="O48" i="34" s="1"/>
  <c r="C50" i="34"/>
  <c r="E50" i="34" s="1"/>
  <c r="B50" i="34" s="1"/>
  <c r="Q34" i="15"/>
  <c r="R39" i="8"/>
  <c r="Q37" i="11" s="1"/>
  <c r="X5" i="6"/>
  <c r="H26" i="6"/>
  <c r="G26" i="6" s="1"/>
  <c r="B26" i="6"/>
  <c r="N48" i="34"/>
  <c r="H49" i="34"/>
  <c r="L49" i="34"/>
  <c r="M48" i="34"/>
  <c r="Q47" i="34"/>
  <c r="G48" i="34"/>
  <c r="P47" i="34" s="1"/>
  <c r="K49" i="34"/>
  <c r="AI7" i="34" s="1"/>
  <c r="AI8" i="34" s="1"/>
  <c r="C125" i="43" l="1"/>
  <c r="D125" i="43" s="1"/>
  <c r="A126" i="43"/>
  <c r="B126" i="43" s="1"/>
  <c r="D50" i="34"/>
  <c r="F50" i="34" s="1"/>
  <c r="O49" i="34" s="1"/>
  <c r="C51" i="34"/>
  <c r="E51" i="34" s="1"/>
  <c r="B51" i="34" s="1"/>
  <c r="C27" i="6"/>
  <c r="L7" i="6"/>
  <c r="D26" i="6"/>
  <c r="F26" i="6" s="1"/>
  <c r="Q4" i="33"/>
  <c r="Q33" i="15" s="1"/>
  <c r="X6" i="6"/>
  <c r="K50" i="34"/>
  <c r="AJ7" i="34" s="1"/>
  <c r="AJ8" i="34" s="1"/>
  <c r="Q48" i="34"/>
  <c r="G49" i="34"/>
  <c r="P48" i="34" s="1"/>
  <c r="L50" i="34"/>
  <c r="M49" i="34"/>
  <c r="N49" i="34"/>
  <c r="H50" i="34"/>
  <c r="C126" i="43" l="1"/>
  <c r="D126" i="43" s="1"/>
  <c r="A127" i="43"/>
  <c r="B127" i="43" s="1"/>
  <c r="C52" i="34"/>
  <c r="E52" i="34" s="1"/>
  <c r="B52" i="34" s="1"/>
  <c r="D51" i="34"/>
  <c r="F51" i="34" s="1"/>
  <c r="O50" i="34" s="1"/>
  <c r="E27" i="6"/>
  <c r="Y4" i="6"/>
  <c r="R3" i="33" s="1"/>
  <c r="Q5" i="33"/>
  <c r="E6" i="33"/>
  <c r="L8" i="6"/>
  <c r="E7" i="33" s="1"/>
  <c r="N50" i="34"/>
  <c r="H51" i="34"/>
  <c r="K51" i="34"/>
  <c r="AK7" i="34" s="1"/>
  <c r="AK8" i="34" s="1"/>
  <c r="M50" i="34"/>
  <c r="Q49" i="34"/>
  <c r="G50" i="34"/>
  <c r="P49" i="34" s="1"/>
  <c r="L51" i="34"/>
  <c r="C127" i="43" l="1"/>
  <c r="D127" i="43" s="1"/>
  <c r="A128" i="43"/>
  <c r="B128" i="43" s="1"/>
  <c r="D52" i="34"/>
  <c r="F52" i="34" s="1"/>
  <c r="O51" i="34" s="1"/>
  <c r="C53" i="34"/>
  <c r="E53" i="34" s="1"/>
  <c r="B53" i="34" s="1"/>
  <c r="H27" i="6"/>
  <c r="G27" i="6" s="1"/>
  <c r="Y5" i="6"/>
  <c r="B27" i="6"/>
  <c r="R34" i="15"/>
  <c r="S39" i="8"/>
  <c r="R37" i="11" s="1"/>
  <c r="M51" i="34"/>
  <c r="Q50" i="34"/>
  <c r="G51" i="34"/>
  <c r="P50" i="34" s="1"/>
  <c r="N51" i="34"/>
  <c r="H52" i="34"/>
  <c r="K52" i="34"/>
  <c r="AL7" i="34" s="1"/>
  <c r="AL8" i="34" s="1"/>
  <c r="L52" i="34"/>
  <c r="C128" i="43" l="1"/>
  <c r="D128" i="43" s="1"/>
  <c r="A129" i="43"/>
  <c r="B129" i="43" s="1"/>
  <c r="C54" i="34"/>
  <c r="E54" i="34" s="1"/>
  <c r="B54" i="34" s="1"/>
  <c r="D53" i="34"/>
  <c r="F53" i="34" s="1"/>
  <c r="O52" i="34" s="1"/>
  <c r="D27" i="6"/>
  <c r="F27" i="6" s="1"/>
  <c r="M7" i="6"/>
  <c r="C28" i="6"/>
  <c r="R4" i="33"/>
  <c r="R33" i="15" s="1"/>
  <c r="Y6" i="6"/>
  <c r="N52" i="34"/>
  <c r="H53" i="34"/>
  <c r="K53" i="34"/>
  <c r="AM7" i="34" s="1"/>
  <c r="AM8" i="34" s="1"/>
  <c r="M52" i="34"/>
  <c r="Q51" i="34"/>
  <c r="G52" i="34"/>
  <c r="P51" i="34" s="1"/>
  <c r="L53" i="34"/>
  <c r="C129" i="43" l="1"/>
  <c r="D129" i="43" s="1"/>
  <c r="A130" i="43"/>
  <c r="B130" i="43" s="1"/>
  <c r="C55" i="34"/>
  <c r="E55" i="34" s="1"/>
  <c r="B55" i="34" s="1"/>
  <c r="D54" i="34"/>
  <c r="F54" i="34" s="1"/>
  <c r="O53" i="34" s="1"/>
  <c r="Z4" i="6"/>
  <c r="S3" i="33" s="1"/>
  <c r="E28" i="6"/>
  <c r="R5" i="33"/>
  <c r="M8" i="6"/>
  <c r="F7" i="33" s="1"/>
  <c r="F6" i="33"/>
  <c r="H54" i="34"/>
  <c r="N53" i="34"/>
  <c r="K54" i="34"/>
  <c r="AN7" i="34" s="1"/>
  <c r="AN8" i="34" s="1"/>
  <c r="Q52" i="34"/>
  <c r="G53" i="34"/>
  <c r="P52" i="34" s="1"/>
  <c r="M53" i="34"/>
  <c r="L54" i="34"/>
  <c r="C130" i="43" l="1"/>
  <c r="D130" i="43" s="1"/>
  <c r="A131" i="43"/>
  <c r="B131" i="43" s="1"/>
  <c r="C56" i="34"/>
  <c r="E56" i="34" s="1"/>
  <c r="B56" i="34" s="1"/>
  <c r="D55" i="34"/>
  <c r="F55" i="34" s="1"/>
  <c r="O54" i="34" s="1"/>
  <c r="S34" i="15"/>
  <c r="T39" i="8"/>
  <c r="S37" i="11" s="1"/>
  <c r="Z5" i="6"/>
  <c r="H28" i="6"/>
  <c r="G28" i="6" s="1"/>
  <c r="B28" i="6"/>
  <c r="L55" i="34"/>
  <c r="Q53" i="34"/>
  <c r="G54" i="34"/>
  <c r="P53" i="34" s="1"/>
  <c r="N54" i="34"/>
  <c r="H55" i="34"/>
  <c r="K55" i="34"/>
  <c r="AO7" i="34" s="1"/>
  <c r="AO8" i="34" s="1"/>
  <c r="M54" i="34"/>
  <c r="C131" i="43" l="1"/>
  <c r="D131" i="43" s="1"/>
  <c r="A132" i="43"/>
  <c r="B132" i="43" s="1"/>
  <c r="C57" i="34"/>
  <c r="E57" i="34" s="1"/>
  <c r="B57" i="34" s="1"/>
  <c r="D56" i="34"/>
  <c r="F56" i="34" s="1"/>
  <c r="O55" i="34" s="1"/>
  <c r="C29" i="6"/>
  <c r="N7" i="6"/>
  <c r="D28" i="6"/>
  <c r="F28" i="6" s="1"/>
  <c r="S4" i="33"/>
  <c r="S33" i="15" s="1"/>
  <c r="Z6" i="6"/>
  <c r="K56" i="34"/>
  <c r="AP7" i="34" s="1"/>
  <c r="AP8" i="34" s="1"/>
  <c r="M55" i="34"/>
  <c r="Q54" i="34"/>
  <c r="G55" i="34"/>
  <c r="P54" i="34" s="1"/>
  <c r="N55" i="34"/>
  <c r="H56" i="34"/>
  <c r="L56" i="34"/>
  <c r="C132" i="43" l="1"/>
  <c r="D132" i="43" s="1"/>
  <c r="A133" i="43"/>
  <c r="B133" i="43" s="1"/>
  <c r="D57" i="34"/>
  <c r="F57" i="34" s="1"/>
  <c r="O56" i="34" s="1"/>
  <c r="C58" i="34"/>
  <c r="E58" i="34" s="1"/>
  <c r="B58" i="34" s="1"/>
  <c r="E29" i="6"/>
  <c r="AA4" i="6"/>
  <c r="T3" i="33" s="1"/>
  <c r="S5" i="33"/>
  <c r="N8" i="6"/>
  <c r="G7" i="33" s="1"/>
  <c r="G6" i="33"/>
  <c r="N56" i="34"/>
  <c r="H57" i="34"/>
  <c r="K57" i="34"/>
  <c r="AQ7" i="34" s="1"/>
  <c r="AQ8" i="34" s="1"/>
  <c r="L57" i="34"/>
  <c r="Q55" i="34"/>
  <c r="G56" i="34"/>
  <c r="P55" i="34" s="1"/>
  <c r="M56" i="34"/>
  <c r="C133" i="43" l="1"/>
  <c r="D133" i="43" s="1"/>
  <c r="A134" i="43"/>
  <c r="B134" i="43" s="1"/>
  <c r="D58" i="34"/>
  <c r="F58" i="34" s="1"/>
  <c r="O57" i="34" s="1"/>
  <c r="C59" i="34"/>
  <c r="E59" i="34" s="1"/>
  <c r="B59" i="34" s="1"/>
  <c r="AA5" i="6"/>
  <c r="H29" i="6"/>
  <c r="G29" i="6" s="1"/>
  <c r="B29" i="6"/>
  <c r="T34" i="15"/>
  <c r="U39" i="8"/>
  <c r="T37" i="11" s="1"/>
  <c r="N57" i="34"/>
  <c r="H58" i="34"/>
  <c r="K58" i="34"/>
  <c r="AR7" i="34" s="1"/>
  <c r="AR8" i="34" s="1"/>
  <c r="L58" i="34"/>
  <c r="Q56" i="34"/>
  <c r="G57" i="34"/>
  <c r="P56" i="34" s="1"/>
  <c r="M57" i="34"/>
  <c r="C134" i="43" l="1"/>
  <c r="D134" i="43" s="1"/>
  <c r="A135" i="43"/>
  <c r="B135" i="43" s="1"/>
  <c r="D59" i="34"/>
  <c r="F59" i="34" s="1"/>
  <c r="O58" i="34" s="1"/>
  <c r="C60" i="34"/>
  <c r="E60" i="34" s="1"/>
  <c r="B60" i="34"/>
  <c r="D60" i="34" s="1"/>
  <c r="O7" i="6"/>
  <c r="C30" i="6"/>
  <c r="D29" i="6"/>
  <c r="F29" i="6" s="1"/>
  <c r="T4" i="33"/>
  <c r="T33" i="15" s="1"/>
  <c r="AA6" i="6"/>
  <c r="N58" i="34"/>
  <c r="H59" i="34"/>
  <c r="K59" i="34"/>
  <c r="AS7" i="34" s="1"/>
  <c r="AS8" i="34" s="1"/>
  <c r="L59" i="34"/>
  <c r="Q57" i="34"/>
  <c r="G58" i="34"/>
  <c r="P57" i="34" s="1"/>
  <c r="M58" i="34"/>
  <c r="C61" i="34" l="1"/>
  <c r="E61" i="34" s="1"/>
  <c r="C135" i="43"/>
  <c r="D135" i="43" s="1"/>
  <c r="A136" i="43"/>
  <c r="B136" i="43" s="1"/>
  <c r="B61" i="34"/>
  <c r="C62" i="34" s="1"/>
  <c r="H6" i="33"/>
  <c r="O8" i="6"/>
  <c r="H7" i="33" s="1"/>
  <c r="T5" i="33"/>
  <c r="E30" i="6"/>
  <c r="AB4" i="6"/>
  <c r="U3" i="33" s="1"/>
  <c r="L60" i="34"/>
  <c r="N59" i="34"/>
  <c r="H60" i="34"/>
  <c r="K60" i="34"/>
  <c r="M59" i="34"/>
  <c r="F60" i="34"/>
  <c r="O59" i="34" s="1"/>
  <c r="Q58" i="34"/>
  <c r="G59" i="34"/>
  <c r="P58" i="34" s="1"/>
  <c r="C136" i="43" l="1"/>
  <c r="D136" i="43" s="1"/>
  <c r="A137" i="43"/>
  <c r="B137" i="43" s="1"/>
  <c r="D61" i="34"/>
  <c r="F61" i="34" s="1"/>
  <c r="O60" i="34" s="1"/>
  <c r="B62" i="34"/>
  <c r="C63" i="34" s="1"/>
  <c r="AB5" i="6"/>
  <c r="H30" i="6"/>
  <c r="G30" i="6" s="1"/>
  <c r="B30" i="6"/>
  <c r="U34" i="15"/>
  <c r="V39" i="8"/>
  <c r="U37" i="11" s="1"/>
  <c r="K61" i="34"/>
  <c r="L61" i="34"/>
  <c r="E62" i="34"/>
  <c r="Q59" i="34"/>
  <c r="G60" i="34"/>
  <c r="P59" i="34" s="1"/>
  <c r="H61" i="34"/>
  <c r="N60" i="34"/>
  <c r="M60" i="34"/>
  <c r="C137" i="43" l="1"/>
  <c r="D137" i="43" s="1"/>
  <c r="A138" i="43"/>
  <c r="B138" i="43" s="1"/>
  <c r="D62" i="34"/>
  <c r="F62" i="34" s="1"/>
  <c r="O61" i="34" s="1"/>
  <c r="B63" i="34"/>
  <c r="D63" i="34" s="1"/>
  <c r="C31" i="6"/>
  <c r="P7" i="6"/>
  <c r="D30" i="6"/>
  <c r="F30" i="6" s="1"/>
  <c r="U4" i="33"/>
  <c r="U33" i="15" s="1"/>
  <c r="AB6" i="6"/>
  <c r="Q60" i="34"/>
  <c r="G61" i="34"/>
  <c r="P60" i="34" s="1"/>
  <c r="N61" i="34"/>
  <c r="H62" i="34"/>
  <c r="K62" i="34"/>
  <c r="L62" i="34"/>
  <c r="E63" i="34"/>
  <c r="M61" i="34"/>
  <c r="C138" i="43" l="1"/>
  <c r="D138" i="43" s="1"/>
  <c r="A139" i="43"/>
  <c r="B139" i="43" s="1"/>
  <c r="C64" i="34"/>
  <c r="E64" i="34" s="1"/>
  <c r="B64" i="34"/>
  <c r="C65" i="34" s="1"/>
  <c r="AC4" i="6"/>
  <c r="V3" i="33" s="1"/>
  <c r="E31" i="6"/>
  <c r="U5" i="33"/>
  <c r="P8" i="6"/>
  <c r="I7" i="33" s="1"/>
  <c r="I6" i="33"/>
  <c r="L63" i="34"/>
  <c r="H63" i="34"/>
  <c r="N62" i="34"/>
  <c r="K63" i="34"/>
  <c r="M62" i="34"/>
  <c r="F63" i="34"/>
  <c r="O62" i="34" s="1"/>
  <c r="Q61" i="34"/>
  <c r="G62" i="34"/>
  <c r="P61" i="34" s="1"/>
  <c r="C139" i="43" l="1"/>
  <c r="D139" i="43" s="1"/>
  <c r="A140" i="43"/>
  <c r="B140" i="43" s="1"/>
  <c r="D64" i="34"/>
  <c r="F64" i="34" s="1"/>
  <c r="O63" i="34" s="1"/>
  <c r="B65" i="34"/>
  <c r="C66" i="34" s="1"/>
  <c r="V34" i="15"/>
  <c r="W39" i="8"/>
  <c r="V37" i="11" s="1"/>
  <c r="AC5" i="6"/>
  <c r="H31" i="6"/>
  <c r="G31" i="6" s="1"/>
  <c r="B31" i="6"/>
  <c r="K64" i="34"/>
  <c r="L64" i="34"/>
  <c r="E65" i="34"/>
  <c r="N63" i="34"/>
  <c r="H64" i="34"/>
  <c r="M63" i="34"/>
  <c r="Q62" i="34"/>
  <c r="G63" i="34"/>
  <c r="P62" i="34" s="1"/>
  <c r="C140" i="43" l="1"/>
  <c r="D140" i="43" s="1"/>
  <c r="A141" i="43"/>
  <c r="B141" i="43" s="1"/>
  <c r="D65" i="34"/>
  <c r="F65" i="34" s="1"/>
  <c r="O64" i="34" s="1"/>
  <c r="B66" i="34"/>
  <c r="D66" i="34" s="1"/>
  <c r="D31" i="6"/>
  <c r="F31" i="6" s="1"/>
  <c r="C32" i="6"/>
  <c r="Q7" i="6"/>
  <c r="V4" i="33"/>
  <c r="V33" i="15" s="1"/>
  <c r="AC6" i="6"/>
  <c r="Q63" i="34"/>
  <c r="G64" i="34"/>
  <c r="P63" i="34" s="1"/>
  <c r="N64" i="34"/>
  <c r="H65" i="34"/>
  <c r="K65" i="34"/>
  <c r="L65" i="34"/>
  <c r="E66" i="34"/>
  <c r="M64" i="34"/>
  <c r="C141" i="43" l="1"/>
  <c r="D141" i="43" s="1"/>
  <c r="A142" i="43"/>
  <c r="B142" i="43" s="1"/>
  <c r="C67" i="34"/>
  <c r="E67" i="34" s="1"/>
  <c r="B67" i="34"/>
  <c r="D67" i="34" s="1"/>
  <c r="J6" i="33"/>
  <c r="Q8" i="6"/>
  <c r="J7" i="33" s="1"/>
  <c r="V5" i="33"/>
  <c r="E32" i="6"/>
  <c r="AD4" i="6"/>
  <c r="W3" i="33" s="1"/>
  <c r="L66" i="34"/>
  <c r="N65" i="34"/>
  <c r="H66" i="34"/>
  <c r="K66" i="34"/>
  <c r="M65" i="34"/>
  <c r="F66" i="34"/>
  <c r="O65" i="34" s="1"/>
  <c r="Q64" i="34"/>
  <c r="G65" i="34"/>
  <c r="P64" i="34" s="1"/>
  <c r="C142" i="43" l="1"/>
  <c r="D142" i="43" s="1"/>
  <c r="A143" i="43"/>
  <c r="B143" i="43" s="1"/>
  <c r="C68" i="34"/>
  <c r="E68" i="34" s="1"/>
  <c r="B68" i="34"/>
  <c r="C69" i="34" s="1"/>
  <c r="H32" i="6"/>
  <c r="G32" i="6" s="1"/>
  <c r="AD5" i="6"/>
  <c r="B32" i="6"/>
  <c r="W34" i="15"/>
  <c r="X39" i="8"/>
  <c r="W37" i="11" s="1"/>
  <c r="L67" i="34"/>
  <c r="K67" i="34"/>
  <c r="M66" i="34"/>
  <c r="F67" i="34"/>
  <c r="O66" i="34" s="1"/>
  <c r="Q65" i="34"/>
  <c r="G66" i="34"/>
  <c r="P65" i="34" s="1"/>
  <c r="N66" i="34"/>
  <c r="H67" i="34"/>
  <c r="C143" i="43" l="1"/>
  <c r="D143" i="43" s="1"/>
  <c r="A144" i="43"/>
  <c r="B144" i="43" s="1"/>
  <c r="D68" i="34"/>
  <c r="F68" i="34" s="1"/>
  <c r="O67" i="34" s="1"/>
  <c r="B69" i="34"/>
  <c r="D69" i="34" s="1"/>
  <c r="R7" i="6"/>
  <c r="D32" i="6"/>
  <c r="F32" i="6" s="1"/>
  <c r="C33" i="6"/>
  <c r="W4" i="33"/>
  <c r="W33" i="15" s="1"/>
  <c r="AD6" i="6"/>
  <c r="M67" i="34"/>
  <c r="Q66" i="34"/>
  <c r="G67" i="34"/>
  <c r="P66" i="34" s="1"/>
  <c r="K68" i="34"/>
  <c r="L68" i="34"/>
  <c r="E69" i="34"/>
  <c r="N67" i="34"/>
  <c r="H68" i="34"/>
  <c r="C144" i="43" l="1"/>
  <c r="D144" i="43" s="1"/>
  <c r="A145" i="43"/>
  <c r="B145" i="43" s="1"/>
  <c r="C70" i="34"/>
  <c r="E70" i="34" s="1"/>
  <c r="B70" i="34"/>
  <c r="D70" i="34" s="1"/>
  <c r="AE4" i="6"/>
  <c r="X3" i="33" s="1"/>
  <c r="E33" i="6"/>
  <c r="K6" i="33"/>
  <c r="R8" i="6"/>
  <c r="K7" i="33" s="1"/>
  <c r="W5" i="33"/>
  <c r="Q67" i="34"/>
  <c r="G68" i="34"/>
  <c r="P67" i="34" s="1"/>
  <c r="N68" i="34"/>
  <c r="H69" i="34"/>
  <c r="K69" i="34"/>
  <c r="F69" i="34"/>
  <c r="O68" i="34" s="1"/>
  <c r="M68" i="34"/>
  <c r="L69" i="34"/>
  <c r="C145" i="43" l="1"/>
  <c r="D145" i="43" s="1"/>
  <c r="A146" i="43"/>
  <c r="B146" i="43" s="1"/>
  <c r="C71" i="34"/>
  <c r="E71" i="34" s="1"/>
  <c r="B71" i="34"/>
  <c r="C72" i="34" s="1"/>
  <c r="X34" i="15"/>
  <c r="Y39" i="8"/>
  <c r="X37" i="11" s="1"/>
  <c r="H33" i="6"/>
  <c r="G33" i="6" s="1"/>
  <c r="AE5" i="6"/>
  <c r="B33" i="6"/>
  <c r="K70" i="34"/>
  <c r="F70" i="34"/>
  <c r="O69" i="34" s="1"/>
  <c r="M69" i="34"/>
  <c r="Q68" i="34"/>
  <c r="G69" i="34"/>
  <c r="P68" i="34" s="1"/>
  <c r="N69" i="34"/>
  <c r="H70" i="34"/>
  <c r="L70" i="34"/>
  <c r="C146" i="43" l="1"/>
  <c r="D146" i="43" s="1"/>
  <c r="A147" i="43"/>
  <c r="B147" i="43" s="1"/>
  <c r="D71" i="34"/>
  <c r="F71" i="34" s="1"/>
  <c r="O70" i="34" s="1"/>
  <c r="B72" i="34"/>
  <c r="C73" i="34" s="1"/>
  <c r="D33" i="6"/>
  <c r="F33" i="6" s="1"/>
  <c r="C34" i="6"/>
  <c r="S7" i="6"/>
  <c r="X4" i="33"/>
  <c r="X33" i="15" s="1"/>
  <c r="AE6" i="6"/>
  <c r="H71" i="34"/>
  <c r="N70" i="34"/>
  <c r="Q69" i="34"/>
  <c r="G70" i="34"/>
  <c r="P69" i="34" s="1"/>
  <c r="K71" i="34"/>
  <c r="L71" i="34"/>
  <c r="E72" i="34"/>
  <c r="M70" i="34"/>
  <c r="C147" i="43" l="1"/>
  <c r="D147" i="43" s="1"/>
  <c r="A148" i="43"/>
  <c r="B148" i="43" s="1"/>
  <c r="D72" i="34"/>
  <c r="F72" i="34" s="1"/>
  <c r="O71" i="34" s="1"/>
  <c r="B73" i="34"/>
  <c r="D73" i="34" s="1"/>
  <c r="L6" i="33"/>
  <c r="S8" i="6"/>
  <c r="L7" i="33" s="1"/>
  <c r="X5" i="33"/>
  <c r="E34" i="6"/>
  <c r="AF4" i="6"/>
  <c r="Y3" i="33" s="1"/>
  <c r="M71" i="34"/>
  <c r="Q70" i="34"/>
  <c r="G71" i="34"/>
  <c r="P70" i="34" s="1"/>
  <c r="N71" i="34"/>
  <c r="H72" i="34"/>
  <c r="K72" i="34"/>
  <c r="L72" i="34"/>
  <c r="E73" i="34"/>
  <c r="C148" i="43" l="1"/>
  <c r="D148" i="43" s="1"/>
  <c r="A149" i="43"/>
  <c r="B149" i="43" s="1"/>
  <c r="C74" i="34"/>
  <c r="E74" i="34" s="1"/>
  <c r="B74" i="34"/>
  <c r="D74" i="34" s="1"/>
  <c r="Y34" i="15"/>
  <c r="Z39" i="8"/>
  <c r="Y37" i="11" s="1"/>
  <c r="AF5" i="6"/>
  <c r="H34" i="6"/>
  <c r="G34" i="6" s="1"/>
  <c r="B34" i="6"/>
  <c r="N72" i="34"/>
  <c r="H73" i="34"/>
  <c r="K73" i="34"/>
  <c r="M72" i="34"/>
  <c r="F73" i="34"/>
  <c r="O72" i="34" s="1"/>
  <c r="Q71" i="34"/>
  <c r="G72" i="34"/>
  <c r="P71" i="34" s="1"/>
  <c r="L73" i="34"/>
  <c r="C149" i="43" l="1"/>
  <c r="D149" i="43" s="1"/>
  <c r="A150" i="43"/>
  <c r="B150" i="43" s="1"/>
  <c r="C75" i="34"/>
  <c r="E75" i="34" s="1"/>
  <c r="B75" i="34"/>
  <c r="C76" i="34" s="1"/>
  <c r="C35" i="6"/>
  <c r="D34" i="6"/>
  <c r="F34" i="6" s="1"/>
  <c r="T7" i="6"/>
  <c r="Y4" i="33"/>
  <c r="Y33" i="15" s="1"/>
  <c r="AF6" i="6"/>
  <c r="L74" i="34"/>
  <c r="N73" i="34"/>
  <c r="H74" i="34"/>
  <c r="K74" i="34"/>
  <c r="M73" i="34"/>
  <c r="F74" i="34"/>
  <c r="O73" i="34" s="1"/>
  <c r="Q72" i="34"/>
  <c r="G73" i="34"/>
  <c r="P72" i="34" s="1"/>
  <c r="C150" i="43" l="1"/>
  <c r="D150" i="43" s="1"/>
  <c r="A151" i="43"/>
  <c r="B151" i="43" s="1"/>
  <c r="D75" i="34"/>
  <c r="F75" i="34" s="1"/>
  <c r="O74" i="34" s="1"/>
  <c r="B76" i="34"/>
  <c r="D76" i="34" s="1"/>
  <c r="M6" i="33"/>
  <c r="T8" i="6"/>
  <c r="M7" i="33" s="1"/>
  <c r="E35" i="6"/>
  <c r="AG4" i="6"/>
  <c r="Z3" i="33" s="1"/>
  <c r="Y5" i="33"/>
  <c r="K75" i="34"/>
  <c r="L75" i="34"/>
  <c r="E76" i="34"/>
  <c r="Q73" i="34"/>
  <c r="G74" i="34"/>
  <c r="P73" i="34" s="1"/>
  <c r="N74" i="34"/>
  <c r="H75" i="34"/>
  <c r="M74" i="34"/>
  <c r="C151" i="43" l="1"/>
  <c r="D151" i="43" s="1"/>
  <c r="A152" i="43"/>
  <c r="B152" i="43" s="1"/>
  <c r="C77" i="34"/>
  <c r="E77" i="34" s="1"/>
  <c r="B77" i="34"/>
  <c r="C78" i="34" s="1"/>
  <c r="H35" i="6"/>
  <c r="G35" i="6" s="1"/>
  <c r="AG5" i="6"/>
  <c r="B35" i="6"/>
  <c r="Z34" i="15"/>
  <c r="AA39" i="8"/>
  <c r="Z37" i="11" s="1"/>
  <c r="E19" i="12" s="1"/>
  <c r="G71" i="56" s="1"/>
  <c r="Q74" i="34"/>
  <c r="G75" i="34"/>
  <c r="P74" i="34" s="1"/>
  <c r="N75" i="34"/>
  <c r="H76" i="34"/>
  <c r="K76" i="34"/>
  <c r="M75" i="34"/>
  <c r="F76" i="34"/>
  <c r="O75" i="34" s="1"/>
  <c r="L76" i="34"/>
  <c r="J10" i="51" l="1"/>
  <c r="C152" i="43"/>
  <c r="D152" i="43" s="1"/>
  <c r="A153" i="43"/>
  <c r="B153" i="43" s="1"/>
  <c r="D77" i="34"/>
  <c r="F77" i="34" s="1"/>
  <c r="O76" i="34" s="1"/>
  <c r="B78" i="34"/>
  <c r="C79" i="34" s="1"/>
  <c r="U7" i="6"/>
  <c r="D35" i="6"/>
  <c r="F35" i="6" s="1"/>
  <c r="C36" i="6"/>
  <c r="Z4" i="33"/>
  <c r="Z33" i="15" s="1"/>
  <c r="AG6" i="6"/>
  <c r="H77" i="34"/>
  <c r="N76" i="34"/>
  <c r="K77" i="34"/>
  <c r="L77" i="34"/>
  <c r="E78" i="34"/>
  <c r="Q75" i="34"/>
  <c r="G76" i="34"/>
  <c r="P75" i="34" s="1"/>
  <c r="M76" i="34"/>
  <c r="C153" i="43" l="1"/>
  <c r="D153" i="43" s="1"/>
  <c r="A154" i="43"/>
  <c r="B154" i="43" s="1"/>
  <c r="D78" i="34"/>
  <c r="F78" i="34" s="1"/>
  <c r="O77" i="34" s="1"/>
  <c r="B79" i="34"/>
  <c r="C80" i="34" s="1"/>
  <c r="E36" i="6"/>
  <c r="AH4" i="6"/>
  <c r="AA3" i="33" s="1"/>
  <c r="N6" i="33"/>
  <c r="D41" i="10" s="1"/>
  <c r="E101" i="56" s="1"/>
  <c r="U8" i="6"/>
  <c r="N7" i="33" s="1"/>
  <c r="D43" i="10" s="1"/>
  <c r="Z5" i="33"/>
  <c r="M77" i="34"/>
  <c r="N77" i="34"/>
  <c r="H78" i="34"/>
  <c r="K78" i="34"/>
  <c r="L78" i="34"/>
  <c r="E79" i="34"/>
  <c r="Q76" i="34"/>
  <c r="G77" i="34"/>
  <c r="P76" i="34" s="1"/>
  <c r="E103" i="56" l="1"/>
  <c r="D40" i="10"/>
  <c r="E100" i="56" s="1"/>
  <c r="C154" i="43"/>
  <c r="D154" i="43" s="1"/>
  <c r="A155" i="43"/>
  <c r="B155" i="43" s="1"/>
  <c r="D79" i="34"/>
  <c r="F79" i="34" s="1"/>
  <c r="O78" i="34" s="1"/>
  <c r="B80" i="34"/>
  <c r="D80" i="34" s="1"/>
  <c r="AA34" i="15"/>
  <c r="AB39" i="8"/>
  <c r="AA37" i="11" s="1"/>
  <c r="AH5" i="6"/>
  <c r="H36" i="6"/>
  <c r="G36" i="6" s="1"/>
  <c r="B36" i="6"/>
  <c r="N78" i="34"/>
  <c r="H79" i="34"/>
  <c r="K79" i="34"/>
  <c r="L79" i="34"/>
  <c r="E80" i="34"/>
  <c r="Q77" i="34"/>
  <c r="G78" i="34"/>
  <c r="P77" i="34" s="1"/>
  <c r="M78" i="34"/>
  <c r="H34" i="51" l="1"/>
  <c r="C155" i="43"/>
  <c r="D155" i="43" s="1"/>
  <c r="A156" i="43"/>
  <c r="B156" i="43" s="1"/>
  <c r="C81" i="34"/>
  <c r="E81" i="34" s="1"/>
  <c r="B81" i="34"/>
  <c r="C82" i="34" s="1"/>
  <c r="D36" i="6"/>
  <c r="F36" i="6" s="1"/>
  <c r="V7" i="6"/>
  <c r="C37" i="6"/>
  <c r="AA4" i="33"/>
  <c r="AA33" i="15" s="1"/>
  <c r="AH6" i="6"/>
  <c r="L80" i="34"/>
  <c r="H80" i="34"/>
  <c r="N79" i="34"/>
  <c r="K80" i="34"/>
  <c r="M79" i="34"/>
  <c r="F80" i="34"/>
  <c r="O79" i="34" s="1"/>
  <c r="Q78" i="34"/>
  <c r="G79" i="34"/>
  <c r="P78" i="34" s="1"/>
  <c r="C156" i="43" l="1"/>
  <c r="D156" i="43" s="1"/>
  <c r="A157" i="43"/>
  <c r="B157" i="43" s="1"/>
  <c r="D81" i="34"/>
  <c r="F81" i="34" s="1"/>
  <c r="O80" i="34" s="1"/>
  <c r="B82" i="34"/>
  <c r="D82" i="34" s="1"/>
  <c r="AA5" i="33"/>
  <c r="V8" i="6"/>
  <c r="O7" i="33" s="1"/>
  <c r="O6" i="33"/>
  <c r="E37" i="6"/>
  <c r="AI4" i="6"/>
  <c r="AB3" i="33" s="1"/>
  <c r="K81" i="34"/>
  <c r="L81" i="34"/>
  <c r="E82" i="34"/>
  <c r="N80" i="34"/>
  <c r="H81" i="34"/>
  <c r="M80" i="34"/>
  <c r="Q79" i="34"/>
  <c r="G80" i="34"/>
  <c r="P79" i="34" s="1"/>
  <c r="C157" i="43" l="1"/>
  <c r="D157" i="43" s="1"/>
  <c r="A158" i="43"/>
  <c r="B158" i="43" s="1"/>
  <c r="C83" i="34"/>
  <c r="E83" i="34" s="1"/>
  <c r="B83" i="34"/>
  <c r="C84" i="34" s="1"/>
  <c r="H37" i="6"/>
  <c r="G37" i="6" s="1"/>
  <c r="AI5" i="6"/>
  <c r="B37" i="6"/>
  <c r="AB34" i="15"/>
  <c r="AC39" i="8"/>
  <c r="AB37" i="11" s="1"/>
  <c r="Q80" i="34"/>
  <c r="G81" i="34"/>
  <c r="P80" i="34" s="1"/>
  <c r="N81" i="34"/>
  <c r="H82" i="34"/>
  <c r="K82" i="34"/>
  <c r="M81" i="34"/>
  <c r="F82" i="34"/>
  <c r="O81" i="34" s="1"/>
  <c r="L82" i="34"/>
  <c r="C158" i="43" l="1"/>
  <c r="D158" i="43" s="1"/>
  <c r="A159" i="43"/>
  <c r="B159" i="43" s="1"/>
  <c r="D83" i="34"/>
  <c r="F83" i="34" s="1"/>
  <c r="O82" i="34" s="1"/>
  <c r="B84" i="34"/>
  <c r="C85" i="34" s="1"/>
  <c r="AB4" i="33"/>
  <c r="AB33" i="15" s="1"/>
  <c r="AI6" i="6"/>
  <c r="C38" i="6"/>
  <c r="D37" i="6"/>
  <c r="F37" i="6" s="1"/>
  <c r="W7" i="6"/>
  <c r="K83" i="34"/>
  <c r="L83" i="34"/>
  <c r="E84" i="34"/>
  <c r="Q81" i="34"/>
  <c r="G82" i="34"/>
  <c r="P81" i="34" s="1"/>
  <c r="N82" i="34"/>
  <c r="H83" i="34"/>
  <c r="M82" i="34"/>
  <c r="C159" i="43" l="1"/>
  <c r="D159" i="43" s="1"/>
  <c r="A160" i="43"/>
  <c r="B160" i="43" s="1"/>
  <c r="D84" i="34"/>
  <c r="F84" i="34" s="1"/>
  <c r="O83" i="34" s="1"/>
  <c r="B85" i="34"/>
  <c r="D85" i="34" s="1"/>
  <c r="AB5" i="33"/>
  <c r="W8" i="6"/>
  <c r="P7" i="33" s="1"/>
  <c r="P6" i="33"/>
  <c r="AJ4" i="6"/>
  <c r="AC3" i="33" s="1"/>
  <c r="E38" i="6"/>
  <c r="Q82" i="34"/>
  <c r="G83" i="34"/>
  <c r="P82" i="34" s="1"/>
  <c r="N83" i="34"/>
  <c r="H84" i="34"/>
  <c r="K84" i="34"/>
  <c r="L84" i="34"/>
  <c r="E85" i="34"/>
  <c r="M83" i="34"/>
  <c r="C160" i="43" l="1"/>
  <c r="D160" i="43" s="1"/>
  <c r="A161" i="43"/>
  <c r="B161" i="43" s="1"/>
  <c r="B86" i="34"/>
  <c r="C87" i="34" s="1"/>
  <c r="C86" i="34"/>
  <c r="E86" i="34" s="1"/>
  <c r="AJ5" i="6"/>
  <c r="H38" i="6"/>
  <c r="G38" i="6" s="1"/>
  <c r="B38" i="6"/>
  <c r="AC34" i="15"/>
  <c r="AD39" i="8"/>
  <c r="AC37" i="11" s="1"/>
  <c r="K85" i="34"/>
  <c r="N84" i="34"/>
  <c r="H85" i="34"/>
  <c r="L85" i="34"/>
  <c r="M84" i="34"/>
  <c r="F85" i="34"/>
  <c r="O84" i="34" s="1"/>
  <c r="Q83" i="34"/>
  <c r="G84" i="34"/>
  <c r="P83" i="34" s="1"/>
  <c r="D86" i="34" l="1"/>
  <c r="F86" i="34" s="1"/>
  <c r="O85" i="34" s="1"/>
  <c r="A162" i="43"/>
  <c r="B162" i="43" s="1"/>
  <c r="C161" i="43"/>
  <c r="D161" i="43" s="1"/>
  <c r="B87" i="34"/>
  <c r="C88" i="34" s="1"/>
  <c r="X7" i="6"/>
  <c r="C39" i="6"/>
  <c r="D38" i="6"/>
  <c r="F38" i="6" s="1"/>
  <c r="AC4" i="33"/>
  <c r="AC33" i="15" s="1"/>
  <c r="AJ6" i="6"/>
  <c r="Q84" i="34"/>
  <c r="G85" i="34"/>
  <c r="P84" i="34" s="1"/>
  <c r="K86" i="34"/>
  <c r="M85" i="34"/>
  <c r="N85" i="34"/>
  <c r="H86" i="34"/>
  <c r="L86" i="34"/>
  <c r="E87" i="34"/>
  <c r="D87" i="34" l="1"/>
  <c r="F87" i="34" s="1"/>
  <c r="O86" i="34" s="1"/>
  <c r="A163" i="43"/>
  <c r="B163" i="43" s="1"/>
  <c r="C162" i="43"/>
  <c r="D162" i="43" s="1"/>
  <c r="B88" i="34"/>
  <c r="D88" i="34" s="1"/>
  <c r="AC5" i="33"/>
  <c r="E39" i="6"/>
  <c r="AK4" i="6"/>
  <c r="AD3" i="33" s="1"/>
  <c r="X8" i="6"/>
  <c r="Q7" i="33" s="1"/>
  <c r="Q6" i="33"/>
  <c r="M86" i="34"/>
  <c r="N86" i="34"/>
  <c r="H87" i="34"/>
  <c r="Q85" i="34"/>
  <c r="G86" i="34"/>
  <c r="P85" i="34" s="1"/>
  <c r="K87" i="34"/>
  <c r="L87" i="34"/>
  <c r="E88" i="34"/>
  <c r="A164" i="43" l="1"/>
  <c r="B164" i="43" s="1"/>
  <c r="C163" i="43"/>
  <c r="D163" i="43" s="1"/>
  <c r="C89" i="34"/>
  <c r="E89" i="34" s="1"/>
  <c r="B89" i="34"/>
  <c r="C90" i="34" s="1"/>
  <c r="AD34" i="15"/>
  <c r="AE39" i="8"/>
  <c r="AD37" i="11" s="1"/>
  <c r="H39" i="6"/>
  <c r="G39" i="6" s="1"/>
  <c r="AK5" i="6"/>
  <c r="B39" i="6"/>
  <c r="N87" i="34"/>
  <c r="H88" i="34"/>
  <c r="K88" i="34"/>
  <c r="M87" i="34"/>
  <c r="F88" i="34"/>
  <c r="O87" i="34" s="1"/>
  <c r="Q86" i="34"/>
  <c r="G87" i="34"/>
  <c r="P86" i="34" s="1"/>
  <c r="L88" i="34"/>
  <c r="A165" i="43" l="1"/>
  <c r="B165" i="43" s="1"/>
  <c r="C164" i="43"/>
  <c r="D164" i="43" s="1"/>
  <c r="B90" i="34"/>
  <c r="D90" i="34" s="1"/>
  <c r="D89" i="34"/>
  <c r="F89" i="34" s="1"/>
  <c r="O88" i="34" s="1"/>
  <c r="AD4" i="33"/>
  <c r="AD33" i="15" s="1"/>
  <c r="AK6" i="6"/>
  <c r="Y7" i="6"/>
  <c r="C40" i="6"/>
  <c r="D39" i="6"/>
  <c r="F39" i="6" s="1"/>
  <c r="K89" i="34"/>
  <c r="N88" i="34"/>
  <c r="H89" i="34"/>
  <c r="M88" i="34"/>
  <c r="L89" i="34"/>
  <c r="E90" i="34"/>
  <c r="Q87" i="34"/>
  <c r="G88" i="34"/>
  <c r="P87" i="34" s="1"/>
  <c r="C91" i="34" l="1"/>
  <c r="E91" i="34" s="1"/>
  <c r="A166" i="43"/>
  <c r="B166" i="43" s="1"/>
  <c r="C165" i="43"/>
  <c r="D165" i="43" s="1"/>
  <c r="B91" i="34"/>
  <c r="C92" i="34" s="1"/>
  <c r="E40" i="6"/>
  <c r="AL4" i="6"/>
  <c r="AE3" i="33" s="1"/>
  <c r="AD5" i="33"/>
  <c r="Y8" i="6"/>
  <c r="R7" i="33" s="1"/>
  <c r="R6" i="33"/>
  <c r="N89" i="34"/>
  <c r="H90" i="34"/>
  <c r="Q88" i="34"/>
  <c r="G89" i="34"/>
  <c r="P88" i="34" s="1"/>
  <c r="K90" i="34"/>
  <c r="L90" i="34"/>
  <c r="M89" i="34"/>
  <c r="F90" i="34"/>
  <c r="O89" i="34" s="1"/>
  <c r="D91" i="34" l="1"/>
  <c r="F91" i="34" s="1"/>
  <c r="O90" i="34" s="1"/>
  <c r="B92" i="34"/>
  <c r="C93" i="34" s="1"/>
  <c r="A167" i="43"/>
  <c r="B167" i="43" s="1"/>
  <c r="C166" i="43"/>
  <c r="D166" i="43" s="1"/>
  <c r="AE34" i="15"/>
  <c r="AF39" i="8"/>
  <c r="AE37" i="11" s="1"/>
  <c r="H40" i="6"/>
  <c r="G40" i="6" s="1"/>
  <c r="AL5" i="6"/>
  <c r="B40" i="6"/>
  <c r="M90" i="34"/>
  <c r="N90" i="34"/>
  <c r="H91" i="34"/>
  <c r="K91" i="34"/>
  <c r="L91" i="34"/>
  <c r="E92" i="34"/>
  <c r="Q89" i="34"/>
  <c r="G90" i="34"/>
  <c r="P89" i="34" s="1"/>
  <c r="D92" i="34" l="1"/>
  <c r="F92" i="34" s="1"/>
  <c r="O91" i="34" s="1"/>
  <c r="B93" i="34"/>
  <c r="C94" i="34" s="1"/>
  <c r="A168" i="43"/>
  <c r="B168" i="43" s="1"/>
  <c r="C167" i="43"/>
  <c r="D167" i="43" s="1"/>
  <c r="AE4" i="33"/>
  <c r="AE33" i="15" s="1"/>
  <c r="AL6" i="6"/>
  <c r="C41" i="6"/>
  <c r="Z7" i="6"/>
  <c r="D40" i="6"/>
  <c r="F40" i="6" s="1"/>
  <c r="N91" i="34"/>
  <c r="H92" i="34"/>
  <c r="K92" i="34"/>
  <c r="L92" i="34"/>
  <c r="E93" i="34"/>
  <c r="Q90" i="34"/>
  <c r="G91" i="34"/>
  <c r="P90" i="34" s="1"/>
  <c r="M91" i="34"/>
  <c r="D93" i="34" l="1"/>
  <c r="F93" i="34" s="1"/>
  <c r="O92" i="34" s="1"/>
  <c r="B94" i="34"/>
  <c r="C95" i="34" s="1"/>
  <c r="A169" i="43"/>
  <c r="B169" i="43" s="1"/>
  <c r="C168" i="43"/>
  <c r="D168" i="43" s="1"/>
  <c r="Z8" i="6"/>
  <c r="S7" i="33" s="1"/>
  <c r="S6" i="33"/>
  <c r="AE5" i="33"/>
  <c r="E41" i="6"/>
  <c r="AM4" i="6"/>
  <c r="AF3" i="33" s="1"/>
  <c r="M92" i="34"/>
  <c r="N92" i="34"/>
  <c r="H93" i="34"/>
  <c r="K93" i="34"/>
  <c r="L93" i="34"/>
  <c r="E94" i="34"/>
  <c r="Q91" i="34"/>
  <c r="G92" i="34"/>
  <c r="P91" i="34" s="1"/>
  <c r="D94" i="34" l="1"/>
  <c r="F94" i="34" s="1"/>
  <c r="O93" i="34" s="1"/>
  <c r="B95" i="34"/>
  <c r="C96" i="34" s="1"/>
  <c r="A170" i="43"/>
  <c r="B170" i="43" s="1"/>
  <c r="C169" i="43"/>
  <c r="D169" i="43" s="1"/>
  <c r="AF34" i="15"/>
  <c r="AG39" i="8"/>
  <c r="AF37" i="11" s="1"/>
  <c r="H41" i="6"/>
  <c r="G41" i="6" s="1"/>
  <c r="AM5" i="6"/>
  <c r="B41" i="6"/>
  <c r="N93" i="34"/>
  <c r="H94" i="34"/>
  <c r="K94" i="34"/>
  <c r="L94" i="34"/>
  <c r="E95" i="34"/>
  <c r="Q92" i="34"/>
  <c r="G93" i="34"/>
  <c r="P92" i="34" s="1"/>
  <c r="M93" i="34"/>
  <c r="D95" i="34" l="1"/>
  <c r="F95" i="34" s="1"/>
  <c r="O94" i="34" s="1"/>
  <c r="B96" i="34"/>
  <c r="C97" i="34" s="1"/>
  <c r="A171" i="43"/>
  <c r="B171" i="43" s="1"/>
  <c r="C170" i="43"/>
  <c r="D170" i="43" s="1"/>
  <c r="AF4" i="33"/>
  <c r="AF33" i="15" s="1"/>
  <c r="AM6" i="6"/>
  <c r="D41" i="6"/>
  <c r="F41" i="6" s="1"/>
  <c r="C42" i="6"/>
  <c r="AA7" i="6"/>
  <c r="M94" i="34"/>
  <c r="N94" i="34"/>
  <c r="H95" i="34"/>
  <c r="K95" i="34"/>
  <c r="L95" i="34"/>
  <c r="E96" i="34"/>
  <c r="Q93" i="34"/>
  <c r="G94" i="34"/>
  <c r="P93" i="34" s="1"/>
  <c r="D96" i="34" l="1"/>
  <c r="F96" i="34" s="1"/>
  <c r="O95" i="34" s="1"/>
  <c r="B97" i="34"/>
  <c r="D97" i="34" s="1"/>
  <c r="A172" i="43"/>
  <c r="B172" i="43" s="1"/>
  <c r="C171" i="43"/>
  <c r="D171" i="43" s="1"/>
  <c r="AN4" i="6"/>
  <c r="AG3" i="33" s="1"/>
  <c r="E42" i="6"/>
  <c r="AF5" i="33"/>
  <c r="AA8" i="6"/>
  <c r="T7" i="33" s="1"/>
  <c r="T6" i="33"/>
  <c r="N95" i="34"/>
  <c r="H96" i="34"/>
  <c r="K96" i="34"/>
  <c r="L96" i="34"/>
  <c r="E97" i="34"/>
  <c r="Q94" i="34"/>
  <c r="G95" i="34"/>
  <c r="P94" i="34" s="1"/>
  <c r="M95" i="34"/>
  <c r="C98" i="34" l="1"/>
  <c r="E98" i="34" s="1"/>
  <c r="B98" i="34"/>
  <c r="D98" i="34" s="1"/>
  <c r="A173" i="43"/>
  <c r="B173" i="43" s="1"/>
  <c r="C172" i="43"/>
  <c r="D172" i="43" s="1"/>
  <c r="AN5" i="6"/>
  <c r="H42" i="6"/>
  <c r="G42" i="6" s="1"/>
  <c r="B42" i="6"/>
  <c r="AG34" i="15"/>
  <c r="AH39" i="8"/>
  <c r="AG37" i="11" s="1"/>
  <c r="L97" i="34"/>
  <c r="N96" i="34"/>
  <c r="H97" i="34"/>
  <c r="K97" i="34"/>
  <c r="M96" i="34"/>
  <c r="F97" i="34"/>
  <c r="O96" i="34" s="1"/>
  <c r="Q95" i="34"/>
  <c r="G96" i="34"/>
  <c r="P95" i="34" s="1"/>
  <c r="C99" i="34" l="1"/>
  <c r="E99" i="34" s="1"/>
  <c r="B99" i="34"/>
  <c r="B100" i="34" s="1"/>
  <c r="A174" i="43"/>
  <c r="B174" i="43" s="1"/>
  <c r="C173" i="43"/>
  <c r="D173" i="43" s="1"/>
  <c r="AB7" i="6"/>
  <c r="D42" i="6"/>
  <c r="F42" i="6" s="1"/>
  <c r="C43" i="6"/>
  <c r="AG4" i="33"/>
  <c r="AG33" i="15" s="1"/>
  <c r="AN6" i="6"/>
  <c r="K98" i="34"/>
  <c r="M97" i="34"/>
  <c r="F98" i="34"/>
  <c r="O97" i="34" s="1"/>
  <c r="Q96" i="34"/>
  <c r="G97" i="34"/>
  <c r="P96" i="34" s="1"/>
  <c r="H98" i="34"/>
  <c r="N97" i="34"/>
  <c r="L98" i="34"/>
  <c r="C100" i="34" l="1"/>
  <c r="E100" i="34" s="1"/>
  <c r="D99" i="34"/>
  <c r="F99" i="34" s="1"/>
  <c r="O98" i="34" s="1"/>
  <c r="A175" i="43"/>
  <c r="B175" i="43" s="1"/>
  <c r="C174" i="43"/>
  <c r="D174" i="43" s="1"/>
  <c r="AG5" i="33"/>
  <c r="E43" i="6"/>
  <c r="AO4" i="6"/>
  <c r="AH3" i="33" s="1"/>
  <c r="U6" i="33"/>
  <c r="AB8" i="6"/>
  <c r="U7" i="33" s="1"/>
  <c r="K99" i="34"/>
  <c r="C101" i="34"/>
  <c r="D100" i="34"/>
  <c r="B101" i="34"/>
  <c r="N98" i="34"/>
  <c r="H99" i="34"/>
  <c r="Q97" i="34"/>
  <c r="G98" i="34"/>
  <c r="P97" i="34" s="1"/>
  <c r="M98" i="34"/>
  <c r="L99" i="34"/>
  <c r="C175" i="43" l="1"/>
  <c r="D175" i="43" s="1"/>
  <c r="A176" i="43"/>
  <c r="B176" i="43" s="1"/>
  <c r="AH34" i="15"/>
  <c r="AI39" i="8"/>
  <c r="AH37" i="11" s="1"/>
  <c r="H43" i="6"/>
  <c r="G43" i="6" s="1"/>
  <c r="AO5" i="6"/>
  <c r="B43" i="6"/>
  <c r="Q98" i="34"/>
  <c r="G99" i="34"/>
  <c r="P98" i="34" s="1"/>
  <c r="K100" i="34"/>
  <c r="C102" i="34"/>
  <c r="D101" i="34"/>
  <c r="B102" i="34"/>
  <c r="L100" i="34"/>
  <c r="E101" i="34"/>
  <c r="N99" i="34"/>
  <c r="H100" i="34"/>
  <c r="M99" i="34"/>
  <c r="F100" i="34"/>
  <c r="O99" i="34" s="1"/>
  <c r="C176" i="43" l="1"/>
  <c r="D176" i="43" s="1"/>
  <c r="A177" i="43"/>
  <c r="B177" i="43" s="1"/>
  <c r="AH4" i="33"/>
  <c r="AH33" i="15" s="1"/>
  <c r="AO6" i="6"/>
  <c r="D43" i="6"/>
  <c r="F43" i="6" s="1"/>
  <c r="AC7" i="6"/>
  <c r="C44" i="6"/>
  <c r="Q99" i="34"/>
  <c r="G100" i="34"/>
  <c r="P99" i="34" s="1"/>
  <c r="N100" i="34"/>
  <c r="H101" i="34"/>
  <c r="K101" i="34"/>
  <c r="D102" i="34"/>
  <c r="C103" i="34"/>
  <c r="B103" i="34"/>
  <c r="E102" i="34"/>
  <c r="L101" i="34"/>
  <c r="F101" i="34"/>
  <c r="O100" i="34" s="1"/>
  <c r="M100" i="34"/>
  <c r="C177" i="43" l="1"/>
  <c r="D177" i="43" s="1"/>
  <c r="A178" i="43"/>
  <c r="B178" i="43" s="1"/>
  <c r="AC8" i="6"/>
  <c r="V7" i="33" s="1"/>
  <c r="V6" i="33"/>
  <c r="AH5" i="33"/>
  <c r="E44" i="6"/>
  <c r="AP4" i="6"/>
  <c r="AI3" i="33" s="1"/>
  <c r="K102" i="34"/>
  <c r="D103" i="34"/>
  <c r="C104" i="34"/>
  <c r="B104" i="34"/>
  <c r="F102" i="34"/>
  <c r="O101" i="34" s="1"/>
  <c r="M101" i="34"/>
  <c r="Q100" i="34"/>
  <c r="G101" i="34"/>
  <c r="P100" i="34" s="1"/>
  <c r="N101" i="34"/>
  <c r="H102" i="34"/>
  <c r="L102" i="34"/>
  <c r="E103" i="34"/>
  <c r="C178" i="43" l="1"/>
  <c r="D178" i="43" s="1"/>
  <c r="A179" i="43"/>
  <c r="B179" i="43" s="1"/>
  <c r="AI34" i="15"/>
  <c r="AJ39" i="8"/>
  <c r="AI37" i="11" s="1"/>
  <c r="H44" i="6"/>
  <c r="G44" i="6" s="1"/>
  <c r="AP5" i="6"/>
  <c r="B44" i="6"/>
  <c r="N102" i="34"/>
  <c r="H103" i="34"/>
  <c r="K103" i="34"/>
  <c r="C105" i="34"/>
  <c r="D104" i="34"/>
  <c r="B105" i="34"/>
  <c r="M102" i="34"/>
  <c r="F103" i="34"/>
  <c r="O102" i="34" s="1"/>
  <c r="Q101" i="34"/>
  <c r="G102" i="34"/>
  <c r="P101" i="34" s="1"/>
  <c r="L103" i="34"/>
  <c r="E104" i="34"/>
  <c r="C179" i="43" l="1"/>
  <c r="D179" i="43" s="1"/>
  <c r="A180" i="43"/>
  <c r="B180" i="43" s="1"/>
  <c r="AI4" i="33"/>
  <c r="AI33" i="15" s="1"/>
  <c r="AP6" i="6"/>
  <c r="D44" i="6"/>
  <c r="F44" i="6" s="1"/>
  <c r="C45" i="6"/>
  <c r="AD7" i="6"/>
  <c r="N103" i="34"/>
  <c r="H104" i="34"/>
  <c r="D105" i="34"/>
  <c r="K104" i="34"/>
  <c r="C106" i="34"/>
  <c r="B106" i="34"/>
  <c r="L104" i="34"/>
  <c r="E105" i="34"/>
  <c r="Q102" i="34"/>
  <c r="G103" i="34"/>
  <c r="P102" i="34" s="1"/>
  <c r="M103" i="34"/>
  <c r="F104" i="34"/>
  <c r="O103" i="34" s="1"/>
  <c r="C180" i="43" l="1"/>
  <c r="D180" i="43" s="1"/>
  <c r="A181" i="43"/>
  <c r="B181" i="43" s="1"/>
  <c r="AQ4" i="6"/>
  <c r="AJ3" i="33" s="1"/>
  <c r="E45" i="6"/>
  <c r="AI5" i="33"/>
  <c r="W6" i="33"/>
  <c r="AD8" i="6"/>
  <c r="W7" i="33" s="1"/>
  <c r="N104" i="34"/>
  <c r="H105" i="34"/>
  <c r="K105" i="34"/>
  <c r="D106" i="34"/>
  <c r="C107" i="34"/>
  <c r="B107" i="34"/>
  <c r="Q103" i="34"/>
  <c r="G104" i="34"/>
  <c r="P103" i="34" s="1"/>
  <c r="L105" i="34"/>
  <c r="E106" i="34"/>
  <c r="F105" i="34"/>
  <c r="O104" i="34" s="1"/>
  <c r="M104" i="34"/>
  <c r="C181" i="43" l="1"/>
  <c r="D181" i="43" s="1"/>
  <c r="A182" i="43"/>
  <c r="B182" i="43" s="1"/>
  <c r="AQ5" i="6"/>
  <c r="H45" i="6"/>
  <c r="G45" i="6" s="1"/>
  <c r="B45" i="6"/>
  <c r="AJ34" i="15"/>
  <c r="AK39" i="8"/>
  <c r="AJ37" i="11" s="1"/>
  <c r="L106" i="34"/>
  <c r="E107" i="34"/>
  <c r="N105" i="34"/>
  <c r="H106" i="34"/>
  <c r="K106" i="34"/>
  <c r="C108" i="34"/>
  <c r="D107" i="34"/>
  <c r="B108" i="34"/>
  <c r="M105" i="34"/>
  <c r="F106" i="34"/>
  <c r="O105" i="34" s="1"/>
  <c r="Q104" i="34"/>
  <c r="G105" i="34"/>
  <c r="P104" i="34" s="1"/>
  <c r="C182" i="43" l="1"/>
  <c r="D182" i="43" s="1"/>
  <c r="A183" i="43"/>
  <c r="B183" i="43" s="1"/>
  <c r="C46" i="6"/>
  <c r="AE7" i="6"/>
  <c r="D45" i="6"/>
  <c r="F45" i="6" s="1"/>
  <c r="AJ4" i="33"/>
  <c r="AJ33" i="15" s="1"/>
  <c r="AQ6" i="6"/>
  <c r="K107" i="34"/>
  <c r="C109" i="34"/>
  <c r="D108" i="34"/>
  <c r="B109" i="34"/>
  <c r="L107" i="34"/>
  <c r="E108" i="34"/>
  <c r="Q105" i="34"/>
  <c r="G106" i="34"/>
  <c r="P105" i="34" s="1"/>
  <c r="N106" i="34"/>
  <c r="H107" i="34"/>
  <c r="M106" i="34"/>
  <c r="F107" i="34"/>
  <c r="O106" i="34" s="1"/>
  <c r="C183" i="43" l="1"/>
  <c r="D183" i="43" s="1"/>
  <c r="A184" i="43"/>
  <c r="B184" i="43" s="1"/>
  <c r="AJ5" i="33"/>
  <c r="X6" i="33"/>
  <c r="AE8" i="6"/>
  <c r="X7" i="33" s="1"/>
  <c r="AR4" i="6"/>
  <c r="AK3" i="33" s="1"/>
  <c r="E46" i="6"/>
  <c r="M107" i="34"/>
  <c r="F108" i="34"/>
  <c r="O107" i="34" s="1"/>
  <c r="Q106" i="34"/>
  <c r="G107" i="34"/>
  <c r="P106" i="34" s="1"/>
  <c r="N107" i="34"/>
  <c r="H108" i="34"/>
  <c r="K108" i="34"/>
  <c r="D109" i="34"/>
  <c r="C110" i="34"/>
  <c r="B110" i="34"/>
  <c r="E109" i="34"/>
  <c r="L108" i="34"/>
  <c r="C184" i="43" l="1"/>
  <c r="D184" i="43" s="1"/>
  <c r="A185" i="43"/>
  <c r="B185" i="43" s="1"/>
  <c r="AK34" i="15"/>
  <c r="AL39" i="8"/>
  <c r="AK37" i="11" s="1"/>
  <c r="H46" i="6"/>
  <c r="G46" i="6" s="1"/>
  <c r="AR5" i="6"/>
  <c r="B46" i="6"/>
  <c r="K109" i="34"/>
  <c r="D110" i="34"/>
  <c r="C111" i="34"/>
  <c r="B111" i="34"/>
  <c r="M108" i="34"/>
  <c r="F109" i="34"/>
  <c r="O108" i="34" s="1"/>
  <c r="Q107" i="34"/>
  <c r="G108" i="34"/>
  <c r="P107" i="34" s="1"/>
  <c r="N108" i="34"/>
  <c r="H109" i="34"/>
  <c r="L109" i="34"/>
  <c r="E110" i="34"/>
  <c r="C185" i="43" l="1"/>
  <c r="D185" i="43" s="1"/>
  <c r="A186" i="43"/>
  <c r="B186" i="43" s="1"/>
  <c r="D46" i="6"/>
  <c r="F46" i="6" s="1"/>
  <c r="AF7" i="6"/>
  <c r="C47" i="6"/>
  <c r="AK4" i="33"/>
  <c r="AK33" i="15" s="1"/>
  <c r="AR6" i="6"/>
  <c r="L110" i="34"/>
  <c r="E111" i="34"/>
  <c r="H110" i="34"/>
  <c r="N109" i="34"/>
  <c r="Q108" i="34"/>
  <c r="G109" i="34"/>
  <c r="P108" i="34" s="1"/>
  <c r="K110" i="34"/>
  <c r="C112" i="34"/>
  <c r="D111" i="34"/>
  <c r="B112" i="34"/>
  <c r="M109" i="34"/>
  <c r="F110" i="34"/>
  <c r="O109" i="34" s="1"/>
  <c r="C186" i="43" l="1"/>
  <c r="D186" i="43" s="1"/>
  <c r="A187" i="43"/>
  <c r="B187" i="43" s="1"/>
  <c r="AK5" i="33"/>
  <c r="Y6" i="33"/>
  <c r="AF8" i="6"/>
  <c r="Y7" i="33" s="1"/>
  <c r="E47" i="6"/>
  <c r="AS4" i="6"/>
  <c r="AL3" i="33" s="1"/>
  <c r="D112" i="34"/>
  <c r="K111" i="34"/>
  <c r="C113" i="34"/>
  <c r="B113" i="34"/>
  <c r="L111" i="34"/>
  <c r="E112" i="34"/>
  <c r="N110" i="34"/>
  <c r="H111" i="34"/>
  <c r="F111" i="34"/>
  <c r="O110" i="34" s="1"/>
  <c r="M110" i="34"/>
  <c r="Q109" i="34"/>
  <c r="G110" i="34"/>
  <c r="P109" i="34" s="1"/>
  <c r="C187" i="43" l="1"/>
  <c r="D187" i="43" s="1"/>
  <c r="A188" i="43"/>
  <c r="B188" i="43" s="1"/>
  <c r="H47" i="6"/>
  <c r="G47" i="6" s="1"/>
  <c r="AS5" i="6"/>
  <c r="B47" i="6"/>
  <c r="AL34" i="15"/>
  <c r="AM39" i="8"/>
  <c r="AL37" i="11" s="1"/>
  <c r="G19" i="12" s="1"/>
  <c r="I71" i="56" s="1"/>
  <c r="Q110" i="34"/>
  <c r="G111" i="34"/>
  <c r="P110" i="34" s="1"/>
  <c r="N111" i="34"/>
  <c r="H112" i="34"/>
  <c r="K112" i="34"/>
  <c r="C114" i="34"/>
  <c r="D113" i="34"/>
  <c r="B114" i="34"/>
  <c r="L112" i="34"/>
  <c r="E113" i="34"/>
  <c r="F112" i="34"/>
  <c r="O111" i="34" s="1"/>
  <c r="M111" i="34"/>
  <c r="L10" i="51" l="1"/>
  <c r="C188" i="43"/>
  <c r="D188" i="43" s="1"/>
  <c r="A189" i="43"/>
  <c r="B189" i="43" s="1"/>
  <c r="AL4" i="33"/>
  <c r="AL33" i="15" s="1"/>
  <c r="AS6" i="6"/>
  <c r="AG7" i="6"/>
  <c r="C48" i="6"/>
  <c r="E48" i="6" s="1"/>
  <c r="H48" i="6" s="1"/>
  <c r="G48" i="6" s="1"/>
  <c r="D47" i="6"/>
  <c r="F47" i="6" s="1"/>
  <c r="K113" i="34"/>
  <c r="C115" i="34"/>
  <c r="D114" i="34"/>
  <c r="B115" i="34"/>
  <c r="L113" i="34"/>
  <c r="E114" i="34"/>
  <c r="Q111" i="34"/>
  <c r="G112" i="34"/>
  <c r="P111" i="34" s="1"/>
  <c r="N112" i="34"/>
  <c r="H113" i="34"/>
  <c r="M112" i="34"/>
  <c r="F113" i="34"/>
  <c r="O112" i="34" s="1"/>
  <c r="C189" i="43" l="1"/>
  <c r="D189" i="43" s="1"/>
  <c r="A190" i="43"/>
  <c r="B190" i="43" s="1"/>
  <c r="B48" i="6"/>
  <c r="AL5" i="33"/>
  <c r="AG8" i="6"/>
  <c r="Z7" i="33" s="1"/>
  <c r="F43" i="10" s="1"/>
  <c r="Z6" i="33"/>
  <c r="F41" i="10" s="1"/>
  <c r="F101" i="56" s="1"/>
  <c r="Q112" i="34"/>
  <c r="G113" i="34"/>
  <c r="P112" i="34" s="1"/>
  <c r="N113" i="34"/>
  <c r="H114" i="34"/>
  <c r="K114" i="34"/>
  <c r="C116" i="34"/>
  <c r="D115" i="34"/>
  <c r="B116" i="34"/>
  <c r="E115" i="34"/>
  <c r="L114" i="34"/>
  <c r="M113" i="34"/>
  <c r="F114" i="34"/>
  <c r="O113" i="34" s="1"/>
  <c r="F103" i="56" l="1"/>
  <c r="F40" i="10"/>
  <c r="F100" i="56" s="1"/>
  <c r="C190" i="43"/>
  <c r="D190" i="43" s="1"/>
  <c r="A191" i="43"/>
  <c r="B191" i="43" s="1"/>
  <c r="AH7" i="6"/>
  <c r="C49" i="6"/>
  <c r="E49" i="6" s="1"/>
  <c r="H49" i="6" s="1"/>
  <c r="G49" i="6" s="1"/>
  <c r="D48" i="6"/>
  <c r="F48" i="6" s="1"/>
  <c r="B49" i="6"/>
  <c r="K115" i="34"/>
  <c r="D116" i="34"/>
  <c r="C117" i="34"/>
  <c r="B117" i="34"/>
  <c r="L115" i="34"/>
  <c r="E116" i="34"/>
  <c r="Q113" i="34"/>
  <c r="G114" i="34"/>
  <c r="P113" i="34" s="1"/>
  <c r="H115" i="34"/>
  <c r="N114" i="34"/>
  <c r="M114" i="34"/>
  <c r="F115" i="34"/>
  <c r="O114" i="34" s="1"/>
  <c r="J34" i="51" l="1"/>
  <c r="C191" i="43"/>
  <c r="D191" i="43" s="1"/>
  <c r="A192" i="43"/>
  <c r="B192" i="43" s="1"/>
  <c r="C50" i="6"/>
  <c r="E50" i="6" s="1"/>
  <c r="H50" i="6" s="1"/>
  <c r="G50" i="6" s="1"/>
  <c r="D49" i="6"/>
  <c r="F49" i="6" s="1"/>
  <c r="AI7" i="6"/>
  <c r="AH8" i="6"/>
  <c r="AA7" i="33" s="1"/>
  <c r="AA6" i="33"/>
  <c r="Q114" i="34"/>
  <c r="G115" i="34"/>
  <c r="P114" i="34" s="1"/>
  <c r="N115" i="34"/>
  <c r="H116" i="34"/>
  <c r="K116" i="34"/>
  <c r="D117" i="34"/>
  <c r="C118" i="34"/>
  <c r="B118" i="34"/>
  <c r="M115" i="34"/>
  <c r="F116" i="34"/>
  <c r="O115" i="34" s="1"/>
  <c r="L116" i="34"/>
  <c r="E117" i="34"/>
  <c r="C192" i="43" l="1"/>
  <c r="D192" i="43" s="1"/>
  <c r="A193" i="43"/>
  <c r="B193" i="43" s="1"/>
  <c r="B50" i="6"/>
  <c r="AJ7" i="6" s="1"/>
  <c r="AI8" i="6"/>
  <c r="AB7" i="33" s="1"/>
  <c r="AB6" i="33"/>
  <c r="N116" i="34"/>
  <c r="H117" i="34"/>
  <c r="K117" i="34"/>
  <c r="C119" i="34"/>
  <c r="D118" i="34"/>
  <c r="B119" i="34"/>
  <c r="M116" i="34"/>
  <c r="F117" i="34"/>
  <c r="O116" i="34" s="1"/>
  <c r="Q115" i="34"/>
  <c r="G116" i="34"/>
  <c r="P115" i="34" s="1"/>
  <c r="L117" i="34"/>
  <c r="E118" i="34"/>
  <c r="C193" i="43" l="1"/>
  <c r="D193" i="43" s="1"/>
  <c r="A194" i="43"/>
  <c r="B194" i="43" s="1"/>
  <c r="D50" i="6"/>
  <c r="F50" i="6" s="1"/>
  <c r="C51" i="6"/>
  <c r="E51" i="6" s="1"/>
  <c r="H51" i="6" s="1"/>
  <c r="G51" i="6" s="1"/>
  <c r="AC6" i="33"/>
  <c r="AJ8" i="6"/>
  <c r="AC7" i="33" s="1"/>
  <c r="K118" i="34"/>
  <c r="C120" i="34"/>
  <c r="D119" i="34"/>
  <c r="B120" i="34"/>
  <c r="L118" i="34"/>
  <c r="E119" i="34"/>
  <c r="Q116" i="34"/>
  <c r="G117" i="34"/>
  <c r="P116" i="34" s="1"/>
  <c r="N117" i="34"/>
  <c r="H118" i="34"/>
  <c r="M117" i="34"/>
  <c r="F118" i="34"/>
  <c r="O117" i="34" s="1"/>
  <c r="C194" i="43" l="1"/>
  <c r="D194" i="43" s="1"/>
  <c r="A195" i="43"/>
  <c r="B195" i="43" s="1"/>
  <c r="B51" i="6"/>
  <c r="D51" i="6" s="1"/>
  <c r="F51" i="6" s="1"/>
  <c r="Q117" i="34"/>
  <c r="G118" i="34"/>
  <c r="P117" i="34" s="1"/>
  <c r="N118" i="34"/>
  <c r="H119" i="34"/>
  <c r="K119" i="34"/>
  <c r="C121" i="34"/>
  <c r="D120" i="34"/>
  <c r="B121" i="34"/>
  <c r="L119" i="34"/>
  <c r="E120" i="34"/>
  <c r="M118" i="34"/>
  <c r="F119" i="34"/>
  <c r="O118" i="34" s="1"/>
  <c r="C195" i="43" l="1"/>
  <c r="D195" i="43" s="1"/>
  <c r="A196" i="43"/>
  <c r="B196" i="43" s="1"/>
  <c r="AK7" i="6"/>
  <c r="AK8" i="6" s="1"/>
  <c r="AD7" i="33" s="1"/>
  <c r="C52" i="6"/>
  <c r="E52" i="6" s="1"/>
  <c r="H52" i="6" s="1"/>
  <c r="G52" i="6" s="1"/>
  <c r="N119" i="34"/>
  <c r="H120" i="34"/>
  <c r="K120" i="34"/>
  <c r="C122" i="34"/>
  <c r="D121" i="34"/>
  <c r="B122" i="34"/>
  <c r="L120" i="34"/>
  <c r="E121" i="34"/>
  <c r="Q118" i="34"/>
  <c r="G119" i="34"/>
  <c r="P118" i="34" s="1"/>
  <c r="M119" i="34"/>
  <c r="F120" i="34"/>
  <c r="O119" i="34" s="1"/>
  <c r="AD6" i="33" l="1"/>
  <c r="C196" i="43"/>
  <c r="D196" i="43" s="1"/>
  <c r="A197" i="43"/>
  <c r="B197" i="43" s="1"/>
  <c r="B52" i="6"/>
  <c r="AL7" i="6" s="1"/>
  <c r="AL8" i="6" s="1"/>
  <c r="AE7" i="33" s="1"/>
  <c r="M120" i="34"/>
  <c r="F121" i="34"/>
  <c r="O120" i="34" s="1"/>
  <c r="N120" i="34"/>
  <c r="H121" i="34"/>
  <c r="K121" i="34"/>
  <c r="C123" i="34"/>
  <c r="D122" i="34"/>
  <c r="B123" i="34"/>
  <c r="L121" i="34"/>
  <c r="E122" i="34"/>
  <c r="Q119" i="34"/>
  <c r="G120" i="34"/>
  <c r="P119" i="34" s="1"/>
  <c r="C197" i="43" l="1"/>
  <c r="D197" i="43" s="1"/>
  <c r="A198" i="43"/>
  <c r="B198" i="43" s="1"/>
  <c r="AE6" i="33"/>
  <c r="D52" i="6"/>
  <c r="F52" i="6" s="1"/>
  <c r="C53" i="6"/>
  <c r="E53" i="6" s="1"/>
  <c r="H53" i="6" s="1"/>
  <c r="G53" i="6" s="1"/>
  <c r="N121" i="34"/>
  <c r="H122" i="34"/>
  <c r="K122" i="34"/>
  <c r="D123" i="34"/>
  <c r="C124" i="34"/>
  <c r="B124" i="34"/>
  <c r="L122" i="34"/>
  <c r="E123" i="34"/>
  <c r="Q120" i="34"/>
  <c r="G121" i="34"/>
  <c r="P120" i="34" s="1"/>
  <c r="M121" i="34"/>
  <c r="F122" i="34"/>
  <c r="O121" i="34" s="1"/>
  <c r="C198" i="43" l="1"/>
  <c r="D198" i="43" s="1"/>
  <c r="A199" i="43"/>
  <c r="B199" i="43" s="1"/>
  <c r="B53" i="6"/>
  <c r="C54" i="6" s="1"/>
  <c r="E54" i="6" s="1"/>
  <c r="L123" i="34"/>
  <c r="E124" i="34"/>
  <c r="H123" i="34"/>
  <c r="N122" i="34"/>
  <c r="K123" i="34"/>
  <c r="C125" i="34"/>
  <c r="D124" i="34"/>
  <c r="B125" i="34"/>
  <c r="M122" i="34"/>
  <c r="F123" i="34"/>
  <c r="O122" i="34" s="1"/>
  <c r="Q121" i="34"/>
  <c r="G122" i="34"/>
  <c r="P121" i="34" s="1"/>
  <c r="C199" i="43" l="1"/>
  <c r="D199" i="43" s="1"/>
  <c r="A200" i="43"/>
  <c r="B200" i="43" s="1"/>
  <c r="AM7" i="6"/>
  <c r="AF6" i="33" s="1"/>
  <c r="D53" i="6"/>
  <c r="F53" i="6" s="1"/>
  <c r="H54" i="6"/>
  <c r="G54" i="6" s="1"/>
  <c r="B54" i="6"/>
  <c r="K124" i="34"/>
  <c r="C126" i="34"/>
  <c r="D125" i="34"/>
  <c r="B126" i="34"/>
  <c r="L124" i="34"/>
  <c r="E125" i="34"/>
  <c r="H124" i="34"/>
  <c r="N123" i="34"/>
  <c r="M123" i="34"/>
  <c r="F124" i="34"/>
  <c r="O123" i="34" s="1"/>
  <c r="Q122" i="34"/>
  <c r="G123" i="34"/>
  <c r="P122" i="34" s="1"/>
  <c r="C200" i="43" l="1"/>
  <c r="D200" i="43" s="1"/>
  <c r="A201" i="43"/>
  <c r="B201" i="43" s="1"/>
  <c r="AM8" i="6"/>
  <c r="AF7" i="33" s="1"/>
  <c r="AN7" i="6"/>
  <c r="D54" i="6"/>
  <c r="F54" i="6" s="1"/>
  <c r="C55" i="6"/>
  <c r="E55" i="6" s="1"/>
  <c r="N124" i="34"/>
  <c r="H125" i="34"/>
  <c r="K125" i="34"/>
  <c r="D126" i="34"/>
  <c r="C127" i="34"/>
  <c r="B127" i="34"/>
  <c r="L125" i="34"/>
  <c r="E126" i="34"/>
  <c r="Q123" i="34"/>
  <c r="G124" i="34"/>
  <c r="P123" i="34" s="1"/>
  <c r="M124" i="34"/>
  <c r="F125" i="34"/>
  <c r="O124" i="34" s="1"/>
  <c r="C201" i="43" l="1"/>
  <c r="D201" i="43" s="1"/>
  <c r="A202" i="43"/>
  <c r="B202" i="43" s="1"/>
  <c r="H55" i="6"/>
  <c r="G55" i="6" s="1"/>
  <c r="B55" i="6"/>
  <c r="AN8" i="6"/>
  <c r="AG7" i="33" s="1"/>
  <c r="AG6" i="33"/>
  <c r="N125" i="34"/>
  <c r="H126" i="34"/>
  <c r="K126" i="34"/>
  <c r="D127" i="34"/>
  <c r="C128" i="34"/>
  <c r="B128" i="34"/>
  <c r="M125" i="34"/>
  <c r="F126" i="34"/>
  <c r="O125" i="34" s="1"/>
  <c r="Q124" i="34"/>
  <c r="G125" i="34"/>
  <c r="P124" i="34" s="1"/>
  <c r="E127" i="34"/>
  <c r="L126" i="34"/>
  <c r="C202" i="43" l="1"/>
  <c r="D202" i="43" s="1"/>
  <c r="A203" i="43"/>
  <c r="B203" i="43" s="1"/>
  <c r="AO7" i="6"/>
  <c r="C56" i="6"/>
  <c r="E56" i="6" s="1"/>
  <c r="H56" i="6" s="1"/>
  <c r="G56" i="6" s="1"/>
  <c r="D55" i="6"/>
  <c r="F55" i="6" s="1"/>
  <c r="N126" i="34"/>
  <c r="H127" i="34"/>
  <c r="K127" i="34"/>
  <c r="C129" i="34"/>
  <c r="D128" i="34"/>
  <c r="B129" i="34"/>
  <c r="M126" i="34"/>
  <c r="F127" i="34"/>
  <c r="O126" i="34" s="1"/>
  <c r="Q125" i="34"/>
  <c r="G126" i="34"/>
  <c r="P125" i="34" s="1"/>
  <c r="L127" i="34"/>
  <c r="E128" i="34"/>
  <c r="C203" i="43" l="1"/>
  <c r="D203" i="43" s="1"/>
  <c r="A204" i="43"/>
  <c r="B204" i="43" s="1"/>
  <c r="B56" i="6"/>
  <c r="AO8" i="6"/>
  <c r="AH7" i="33" s="1"/>
  <c r="AH6" i="33"/>
  <c r="M127" i="34"/>
  <c r="F128" i="34"/>
  <c r="O127" i="34" s="1"/>
  <c r="N127" i="34"/>
  <c r="H128" i="34"/>
  <c r="K128" i="34"/>
  <c r="C130" i="34"/>
  <c r="D129" i="34"/>
  <c r="B130" i="34"/>
  <c r="L128" i="34"/>
  <c r="E129" i="34"/>
  <c r="Q126" i="34"/>
  <c r="G127" i="34"/>
  <c r="P126" i="34" s="1"/>
  <c r="C204" i="43" l="1"/>
  <c r="D204" i="43" s="1"/>
  <c r="A205" i="43"/>
  <c r="B205" i="43" s="1"/>
  <c r="AP7" i="6"/>
  <c r="C57" i="6"/>
  <c r="E57" i="6" s="1"/>
  <c r="H57" i="6" s="1"/>
  <c r="G57" i="6" s="1"/>
  <c r="D56" i="6"/>
  <c r="F56" i="6" s="1"/>
  <c r="B57" i="6"/>
  <c r="N128" i="34"/>
  <c r="H129" i="34"/>
  <c r="D130" i="34"/>
  <c r="K129" i="34"/>
  <c r="C131" i="34"/>
  <c r="B131" i="34"/>
  <c r="L129" i="34"/>
  <c r="E130" i="34"/>
  <c r="Q127" i="34"/>
  <c r="G128" i="34"/>
  <c r="P127" i="34" s="1"/>
  <c r="F129" i="34"/>
  <c r="O128" i="34" s="1"/>
  <c r="M128" i="34"/>
  <c r="C205" i="43" l="1"/>
  <c r="D205" i="43" s="1"/>
  <c r="A206" i="43"/>
  <c r="B206" i="43" s="1"/>
  <c r="C58" i="6"/>
  <c r="E58" i="6" s="1"/>
  <c r="H58" i="6" s="1"/>
  <c r="G58" i="6" s="1"/>
  <c r="D57" i="6"/>
  <c r="F57" i="6" s="1"/>
  <c r="AQ7" i="6"/>
  <c r="AP8" i="6"/>
  <c r="AI7" i="33" s="1"/>
  <c r="AI6" i="33"/>
  <c r="N129" i="34"/>
  <c r="H130" i="34"/>
  <c r="K130" i="34"/>
  <c r="C132" i="34"/>
  <c r="D131" i="34"/>
  <c r="B132" i="34"/>
  <c r="Q128" i="34"/>
  <c r="G129" i="34"/>
  <c r="P128" i="34" s="1"/>
  <c r="E131" i="34"/>
  <c r="L130" i="34"/>
  <c r="F130" i="34"/>
  <c r="O129" i="34" s="1"/>
  <c r="M129" i="34"/>
  <c r="C206" i="43" l="1"/>
  <c r="D206" i="43" s="1"/>
  <c r="A207" i="43"/>
  <c r="B207" i="43" s="1"/>
  <c r="B58" i="6"/>
  <c r="D58" i="6" s="1"/>
  <c r="F58" i="6" s="1"/>
  <c r="AQ8" i="6"/>
  <c r="AJ7" i="33" s="1"/>
  <c r="AJ6" i="33"/>
  <c r="N130" i="34"/>
  <c r="H131" i="34"/>
  <c r="K131" i="34"/>
  <c r="C133" i="34"/>
  <c r="D132" i="34"/>
  <c r="B133" i="34"/>
  <c r="L131" i="34"/>
  <c r="E132" i="34"/>
  <c r="Q129" i="34"/>
  <c r="G130" i="34"/>
  <c r="P129" i="34" s="1"/>
  <c r="M130" i="34"/>
  <c r="F131" i="34"/>
  <c r="O130" i="34" s="1"/>
  <c r="C207" i="43" l="1"/>
  <c r="D207" i="43" s="1"/>
  <c r="A208" i="43"/>
  <c r="B208" i="43" s="1"/>
  <c r="C59" i="6"/>
  <c r="E59" i="6" s="1"/>
  <c r="H59" i="6" s="1"/>
  <c r="G59" i="6" s="1"/>
  <c r="AR7" i="6"/>
  <c r="AR8" i="6" s="1"/>
  <c r="AK7" i="33" s="1"/>
  <c r="N131" i="34"/>
  <c r="H132" i="34"/>
  <c r="K132" i="34"/>
  <c r="C134" i="34"/>
  <c r="D133" i="34"/>
  <c r="B134" i="34"/>
  <c r="L132" i="34"/>
  <c r="E133" i="34"/>
  <c r="Q130" i="34"/>
  <c r="G131" i="34"/>
  <c r="P130" i="34" s="1"/>
  <c r="M131" i="34"/>
  <c r="F132" i="34"/>
  <c r="O131" i="34" s="1"/>
  <c r="C208" i="43" l="1"/>
  <c r="D208" i="43" s="1"/>
  <c r="A209" i="43"/>
  <c r="B209" i="43" s="1"/>
  <c r="AK6" i="33"/>
  <c r="B59" i="6"/>
  <c r="AS7" i="6" s="1"/>
  <c r="M132" i="34"/>
  <c r="F133" i="34"/>
  <c r="O132" i="34" s="1"/>
  <c r="N132" i="34"/>
  <c r="H133" i="34"/>
  <c r="K133" i="34"/>
  <c r="D134" i="34"/>
  <c r="C135" i="34"/>
  <c r="B135" i="34"/>
  <c r="L133" i="34"/>
  <c r="E134" i="34"/>
  <c r="Q131" i="34"/>
  <c r="G132" i="34"/>
  <c r="P131" i="34" s="1"/>
  <c r="C209" i="43" l="1"/>
  <c r="D209" i="43" s="1"/>
  <c r="A210" i="43"/>
  <c r="B210" i="43" s="1"/>
  <c r="C60" i="6"/>
  <c r="E60" i="6" s="1"/>
  <c r="D59" i="6"/>
  <c r="F59" i="6" s="1"/>
  <c r="AS8" i="6"/>
  <c r="AL7" i="33" s="1"/>
  <c r="H43" i="10" s="1"/>
  <c r="AL6" i="33"/>
  <c r="H41" i="10" s="1"/>
  <c r="G101" i="56" s="1"/>
  <c r="N133" i="34"/>
  <c r="H134" i="34"/>
  <c r="K134" i="34"/>
  <c r="D135" i="34"/>
  <c r="C136" i="34"/>
  <c r="B136" i="34"/>
  <c r="M133" i="34"/>
  <c r="F134" i="34"/>
  <c r="O133" i="34" s="1"/>
  <c r="Q132" i="34"/>
  <c r="G133" i="34"/>
  <c r="P132" i="34" s="1"/>
  <c r="L134" i="34"/>
  <c r="E135" i="34"/>
  <c r="G103" i="56" l="1"/>
  <c r="H40" i="10"/>
  <c r="G100" i="56" s="1"/>
  <c r="C210" i="43"/>
  <c r="D210" i="43" s="1"/>
  <c r="A211" i="43"/>
  <c r="B211" i="43" s="1"/>
  <c r="H60" i="6"/>
  <c r="G60" i="6" s="1"/>
  <c r="B60" i="6"/>
  <c r="L135" i="34"/>
  <c r="E136" i="34"/>
  <c r="N134" i="34"/>
  <c r="H135" i="34"/>
  <c r="K135" i="34"/>
  <c r="D136" i="34"/>
  <c r="C137" i="34"/>
  <c r="B137" i="34"/>
  <c r="M134" i="34"/>
  <c r="F135" i="34"/>
  <c r="O134" i="34" s="1"/>
  <c r="Q133" i="34"/>
  <c r="G134" i="34"/>
  <c r="P133" i="34" s="1"/>
  <c r="H100" i="56" l="1"/>
  <c r="L34" i="51"/>
  <c r="C211" i="43"/>
  <c r="D211" i="43" s="1"/>
  <c r="A212" i="43"/>
  <c r="B212" i="43" s="1"/>
  <c r="C61" i="6"/>
  <c r="E61" i="6" s="1"/>
  <c r="D60" i="6"/>
  <c r="F60" i="6" s="1"/>
  <c r="K136" i="34"/>
  <c r="D137" i="34"/>
  <c r="C138" i="34"/>
  <c r="B138" i="34"/>
  <c r="M135" i="34"/>
  <c r="F136" i="34"/>
  <c r="O135" i="34" s="1"/>
  <c r="Q134" i="34"/>
  <c r="G135" i="34"/>
  <c r="P134" i="34" s="1"/>
  <c r="N135" i="34"/>
  <c r="H136" i="34"/>
  <c r="L136" i="34"/>
  <c r="E137" i="34"/>
  <c r="C212" i="43" l="1"/>
  <c r="D212" i="43" s="1"/>
  <c r="A213" i="43"/>
  <c r="B213" i="43" s="1"/>
  <c r="H61" i="6"/>
  <c r="G61" i="6" s="1"/>
  <c r="B61" i="6"/>
  <c r="L137" i="34"/>
  <c r="E138" i="34"/>
  <c r="N136" i="34"/>
  <c r="H137" i="34"/>
  <c r="Q135" i="34"/>
  <c r="G136" i="34"/>
  <c r="P135" i="34" s="1"/>
  <c r="K137" i="34"/>
  <c r="D138" i="34"/>
  <c r="C139" i="34"/>
  <c r="B139" i="34"/>
  <c r="M136" i="34"/>
  <c r="F137" i="34"/>
  <c r="O136" i="34" s="1"/>
  <c r="C213" i="43" l="1"/>
  <c r="D213" i="43" s="1"/>
  <c r="A214" i="43"/>
  <c r="B214" i="43" s="1"/>
  <c r="D61" i="6"/>
  <c r="F61" i="6" s="1"/>
  <c r="C62" i="6"/>
  <c r="E62" i="6" s="1"/>
  <c r="L138" i="34"/>
  <c r="E139" i="34"/>
  <c r="K138" i="34"/>
  <c r="D139" i="34"/>
  <c r="C140" i="34"/>
  <c r="B140" i="34"/>
  <c r="M137" i="34"/>
  <c r="F138" i="34"/>
  <c r="O137" i="34" s="1"/>
  <c r="Q136" i="34"/>
  <c r="G137" i="34"/>
  <c r="P136" i="34" s="1"/>
  <c r="N137" i="34"/>
  <c r="H138" i="34"/>
  <c r="C214" i="43" l="1"/>
  <c r="D214" i="43" s="1"/>
  <c r="A215" i="43"/>
  <c r="B215" i="43" s="1"/>
  <c r="H62" i="6"/>
  <c r="G62" i="6" s="1"/>
  <c r="B62" i="6"/>
  <c r="L139" i="34"/>
  <c r="E140" i="34"/>
  <c r="N138" i="34"/>
  <c r="H139" i="34"/>
  <c r="Q137" i="34"/>
  <c r="G138" i="34"/>
  <c r="P137" i="34" s="1"/>
  <c r="D140" i="34"/>
  <c r="K139" i="34"/>
  <c r="C141" i="34"/>
  <c r="B141" i="34"/>
  <c r="M138" i="34"/>
  <c r="F139" i="34"/>
  <c r="O138" i="34" s="1"/>
  <c r="C215" i="43" l="1"/>
  <c r="D215" i="43" s="1"/>
  <c r="A216" i="43"/>
  <c r="B216" i="43" s="1"/>
  <c r="C63" i="6"/>
  <c r="E63" i="6" s="1"/>
  <c r="H63" i="6" s="1"/>
  <c r="G63" i="6" s="1"/>
  <c r="D62" i="6"/>
  <c r="F62" i="6" s="1"/>
  <c r="K140" i="34"/>
  <c r="C142" i="34"/>
  <c r="D141" i="34"/>
  <c r="B142" i="34"/>
  <c r="Q138" i="34"/>
  <c r="G139" i="34"/>
  <c r="P138" i="34" s="1"/>
  <c r="N139" i="34"/>
  <c r="H140" i="34"/>
  <c r="L140" i="34"/>
  <c r="E141" i="34"/>
  <c r="M139" i="34"/>
  <c r="F140" i="34"/>
  <c r="O139" i="34" s="1"/>
  <c r="C216" i="43" l="1"/>
  <c r="D216" i="43" s="1"/>
  <c r="A217" i="43"/>
  <c r="B217" i="43" s="1"/>
  <c r="B63" i="6"/>
  <c r="Q139" i="34"/>
  <c r="G140" i="34"/>
  <c r="P139" i="34" s="1"/>
  <c r="D142" i="34"/>
  <c r="C143" i="34"/>
  <c r="K141" i="34"/>
  <c r="B143" i="34"/>
  <c r="L141" i="34"/>
  <c r="E142" i="34"/>
  <c r="N140" i="34"/>
  <c r="H141" i="34"/>
  <c r="M140" i="34"/>
  <c r="F141" i="34"/>
  <c r="O140" i="34" s="1"/>
  <c r="C217" i="43" l="1"/>
  <c r="D217" i="43" s="1"/>
  <c r="A218" i="43"/>
  <c r="B218" i="43" s="1"/>
  <c r="C64" i="6"/>
  <c r="E64" i="6" s="1"/>
  <c r="H64" i="6" s="1"/>
  <c r="G64" i="6" s="1"/>
  <c r="D63" i="6"/>
  <c r="F63" i="6" s="1"/>
  <c r="B64" i="6"/>
  <c r="M141" i="34"/>
  <c r="F142" i="34"/>
  <c r="O141" i="34" s="1"/>
  <c r="Q140" i="34"/>
  <c r="G141" i="34"/>
  <c r="P140" i="34" s="1"/>
  <c r="N141" i="34"/>
  <c r="H142" i="34"/>
  <c r="K142" i="34"/>
  <c r="C144" i="34"/>
  <c r="D143" i="34"/>
  <c r="B144" i="34"/>
  <c r="L142" i="34"/>
  <c r="E143" i="34"/>
  <c r="C218" i="43" l="1"/>
  <c r="D218" i="43" s="1"/>
  <c r="A219" i="43"/>
  <c r="B219" i="43" s="1"/>
  <c r="C65" i="6"/>
  <c r="E65" i="6" s="1"/>
  <c r="H65" i="6" s="1"/>
  <c r="G65" i="6" s="1"/>
  <c r="D64" i="6"/>
  <c r="F64" i="6" s="1"/>
  <c r="M142" i="34"/>
  <c r="F143" i="34"/>
  <c r="O142" i="34" s="1"/>
  <c r="H143" i="34"/>
  <c r="N142" i="34"/>
  <c r="K143" i="34"/>
  <c r="D144" i="34"/>
  <c r="C145" i="34"/>
  <c r="B145" i="34"/>
  <c r="L143" i="34"/>
  <c r="E144" i="34"/>
  <c r="Q141" i="34"/>
  <c r="G142" i="34"/>
  <c r="P141" i="34" s="1"/>
  <c r="C219" i="43" l="1"/>
  <c r="D219" i="43" s="1"/>
  <c r="A220" i="43"/>
  <c r="B220" i="43" s="1"/>
  <c r="B65" i="6"/>
  <c r="L144" i="34"/>
  <c r="E145" i="34"/>
  <c r="Q142" i="34"/>
  <c r="G143" i="34"/>
  <c r="P142" i="34" s="1"/>
  <c r="N143" i="34"/>
  <c r="H144" i="34"/>
  <c r="K144" i="34"/>
  <c r="C146" i="34"/>
  <c r="D145" i="34"/>
  <c r="B146" i="34"/>
  <c r="M143" i="34"/>
  <c r="F144" i="34"/>
  <c r="O143" i="34" s="1"/>
  <c r="C220" i="43" l="1"/>
  <c r="D220" i="43" s="1"/>
  <c r="A221" i="43"/>
  <c r="B221" i="43" s="1"/>
  <c r="D65" i="6"/>
  <c r="F65" i="6" s="1"/>
  <c r="C66" i="6"/>
  <c r="E66" i="6" s="1"/>
  <c r="H66" i="6" s="1"/>
  <c r="G66" i="6" s="1"/>
  <c r="M144" i="34"/>
  <c r="F145" i="34"/>
  <c r="O144" i="34" s="1"/>
  <c r="K145" i="34"/>
  <c r="C147" i="34"/>
  <c r="D146" i="34"/>
  <c r="B147" i="34"/>
  <c r="L145" i="34"/>
  <c r="E146" i="34"/>
  <c r="Q143" i="34"/>
  <c r="G144" i="34"/>
  <c r="P143" i="34" s="1"/>
  <c r="N144" i="34"/>
  <c r="H145" i="34"/>
  <c r="C221" i="43" l="1"/>
  <c r="D221" i="43" s="1"/>
  <c r="A222" i="43"/>
  <c r="B222" i="43" s="1"/>
  <c r="B66" i="6"/>
  <c r="D66" i="6" s="1"/>
  <c r="F66" i="6" s="1"/>
  <c r="Q144" i="34"/>
  <c r="G145" i="34"/>
  <c r="P144" i="34" s="1"/>
  <c r="N145" i="34"/>
  <c r="H146" i="34"/>
  <c r="K146" i="34"/>
  <c r="C148" i="34"/>
  <c r="D147" i="34"/>
  <c r="B148" i="34"/>
  <c r="L146" i="34"/>
  <c r="E147" i="34"/>
  <c r="M145" i="34"/>
  <c r="F146" i="34"/>
  <c r="O145" i="34" s="1"/>
  <c r="C222" i="43" l="1"/>
  <c r="D222" i="43" s="1"/>
  <c r="A223" i="43"/>
  <c r="B223" i="43" s="1"/>
  <c r="C67" i="6"/>
  <c r="E67" i="6" s="1"/>
  <c r="H67" i="6" s="1"/>
  <c r="G67" i="6" s="1"/>
  <c r="N146" i="34"/>
  <c r="H147" i="34"/>
  <c r="K147" i="34"/>
  <c r="C149" i="34"/>
  <c r="D148" i="34"/>
  <c r="B149" i="34"/>
  <c r="L147" i="34"/>
  <c r="E148" i="34"/>
  <c r="Q145" i="34"/>
  <c r="G146" i="34"/>
  <c r="P145" i="34" s="1"/>
  <c r="M146" i="34"/>
  <c r="F147" i="34"/>
  <c r="O146" i="34" s="1"/>
  <c r="C223" i="43" l="1"/>
  <c r="D223" i="43" s="1"/>
  <c r="A224" i="43"/>
  <c r="B224" i="43" s="1"/>
  <c r="B67" i="6"/>
  <c r="C68" i="6" s="1"/>
  <c r="E68" i="6" s="1"/>
  <c r="H68" i="6" s="1"/>
  <c r="G68" i="6" s="1"/>
  <c r="M147" i="34"/>
  <c r="F148" i="34"/>
  <c r="O147" i="34" s="1"/>
  <c r="N147" i="34"/>
  <c r="H148" i="34"/>
  <c r="K148" i="34"/>
  <c r="C150" i="34"/>
  <c r="D149" i="34"/>
  <c r="B150" i="34"/>
  <c r="L148" i="34"/>
  <c r="E149" i="34"/>
  <c r="Q146" i="34"/>
  <c r="G147" i="34"/>
  <c r="P146" i="34" s="1"/>
  <c r="C224" i="43" l="1"/>
  <c r="D224" i="43" s="1"/>
  <c r="A225" i="43"/>
  <c r="B225" i="43" s="1"/>
  <c r="D67" i="6"/>
  <c r="F67" i="6" s="1"/>
  <c r="B68" i="6"/>
  <c r="C69" i="6" s="1"/>
  <c r="E69" i="6" s="1"/>
  <c r="H69" i="6" s="1"/>
  <c r="G69" i="6" s="1"/>
  <c r="N148" i="34"/>
  <c r="H149" i="34"/>
  <c r="K149" i="34"/>
  <c r="D150" i="34"/>
  <c r="C151" i="34"/>
  <c r="B151" i="34"/>
  <c r="L149" i="34"/>
  <c r="E150" i="34"/>
  <c r="Q147" i="34"/>
  <c r="G148" i="34"/>
  <c r="P147" i="34" s="1"/>
  <c r="M148" i="34"/>
  <c r="F149" i="34"/>
  <c r="O148" i="34" s="1"/>
  <c r="C225" i="43" l="1"/>
  <c r="D225" i="43" s="1"/>
  <c r="A226" i="43"/>
  <c r="B226" i="43" s="1"/>
  <c r="D68" i="6"/>
  <c r="F68" i="6" s="1"/>
  <c r="B69" i="6"/>
  <c r="L150" i="34"/>
  <c r="E151" i="34"/>
  <c r="N149" i="34"/>
  <c r="H150" i="34"/>
  <c r="K150" i="34"/>
  <c r="D151" i="34"/>
  <c r="C152" i="34"/>
  <c r="B152" i="34"/>
  <c r="M149" i="34"/>
  <c r="F150" i="34"/>
  <c r="O149" i="34" s="1"/>
  <c r="Q148" i="34"/>
  <c r="G149" i="34"/>
  <c r="P148" i="34" s="1"/>
  <c r="C226" i="43" l="1"/>
  <c r="D226" i="43" s="1"/>
  <c r="A227" i="43"/>
  <c r="B227" i="43" s="1"/>
  <c r="C70" i="6"/>
  <c r="E70" i="6" s="1"/>
  <c r="H70" i="6" s="1"/>
  <c r="G70" i="6" s="1"/>
  <c r="D69" i="6"/>
  <c r="F69" i="6" s="1"/>
  <c r="B70" i="6"/>
  <c r="L151" i="34"/>
  <c r="E152" i="34"/>
  <c r="K151" i="34"/>
  <c r="C153" i="34"/>
  <c r="D152" i="34"/>
  <c r="B153" i="34"/>
  <c r="M150" i="34"/>
  <c r="F151" i="34"/>
  <c r="O150" i="34" s="1"/>
  <c r="Q149" i="34"/>
  <c r="G150" i="34"/>
  <c r="P149" i="34" s="1"/>
  <c r="N150" i="34"/>
  <c r="H151" i="34"/>
  <c r="C227" i="43" l="1"/>
  <c r="D227" i="43" s="1"/>
  <c r="A228" i="43"/>
  <c r="B228" i="43" s="1"/>
  <c r="D70" i="6"/>
  <c r="F70" i="6" s="1"/>
  <c r="C71" i="6"/>
  <c r="E71" i="6" s="1"/>
  <c r="H71" i="6" s="1"/>
  <c r="G71" i="6" s="1"/>
  <c r="M151" i="34"/>
  <c r="F152" i="34"/>
  <c r="O151" i="34" s="1"/>
  <c r="N151" i="34"/>
  <c r="H152" i="34"/>
  <c r="Q150" i="34"/>
  <c r="G151" i="34"/>
  <c r="P150" i="34" s="1"/>
  <c r="K152" i="34"/>
  <c r="D153" i="34"/>
  <c r="C154" i="34"/>
  <c r="B154" i="34"/>
  <c r="L152" i="34"/>
  <c r="E153" i="34"/>
  <c r="C228" i="43" l="1"/>
  <c r="D228" i="43" s="1"/>
  <c r="A229" i="43"/>
  <c r="B229" i="43" s="1"/>
  <c r="B71" i="6"/>
  <c r="E154" i="34"/>
  <c r="L153" i="34"/>
  <c r="N152" i="34"/>
  <c r="H153" i="34"/>
  <c r="K153" i="34"/>
  <c r="C155" i="34"/>
  <c r="D154" i="34"/>
  <c r="B155" i="34"/>
  <c r="M152" i="34"/>
  <c r="F153" i="34"/>
  <c r="O152" i="34" s="1"/>
  <c r="Q151" i="34"/>
  <c r="G152" i="34"/>
  <c r="P151" i="34" s="1"/>
  <c r="C229" i="43" l="1"/>
  <c r="D229" i="43" s="1"/>
  <c r="A230" i="43"/>
  <c r="B230" i="43" s="1"/>
  <c r="D71" i="6"/>
  <c r="F71" i="6" s="1"/>
  <c r="C72" i="6"/>
  <c r="E72" i="6" s="1"/>
  <c r="H72" i="6" s="1"/>
  <c r="G72" i="6" s="1"/>
  <c r="K154" i="34"/>
  <c r="C156" i="34"/>
  <c r="D155" i="34"/>
  <c r="B156" i="34"/>
  <c r="L154" i="34"/>
  <c r="E155" i="34"/>
  <c r="Q152" i="34"/>
  <c r="G153" i="34"/>
  <c r="P152" i="34" s="1"/>
  <c r="M153" i="34"/>
  <c r="F154" i="34"/>
  <c r="O153" i="34" s="1"/>
  <c r="N153" i="34"/>
  <c r="H154" i="34"/>
  <c r="C230" i="43" l="1"/>
  <c r="D230" i="43" s="1"/>
  <c r="A231" i="43"/>
  <c r="B231" i="43" s="1"/>
  <c r="B72" i="6"/>
  <c r="Q153" i="34"/>
  <c r="G154" i="34"/>
  <c r="P153" i="34" s="1"/>
  <c r="N154" i="34"/>
  <c r="H155" i="34"/>
  <c r="C157" i="34"/>
  <c r="K155" i="34"/>
  <c r="D156" i="34"/>
  <c r="B157" i="34"/>
  <c r="L155" i="34"/>
  <c r="E156" i="34"/>
  <c r="M154" i="34"/>
  <c r="F155" i="34"/>
  <c r="O154" i="34" s="1"/>
  <c r="C231" i="43" l="1"/>
  <c r="D231" i="43" s="1"/>
  <c r="A232" i="43"/>
  <c r="B232" i="43" s="1"/>
  <c r="D72" i="6"/>
  <c r="F72" i="6" s="1"/>
  <c r="C73" i="6"/>
  <c r="E73" i="6" s="1"/>
  <c r="H73" i="6" s="1"/>
  <c r="G73" i="6" s="1"/>
  <c r="H156" i="34"/>
  <c r="N155" i="34"/>
  <c r="K156" i="34"/>
  <c r="C158" i="34"/>
  <c r="D157" i="34"/>
  <c r="B158" i="34"/>
  <c r="Q154" i="34"/>
  <c r="G155" i="34"/>
  <c r="P154" i="34" s="1"/>
  <c r="M155" i="34"/>
  <c r="F156" i="34"/>
  <c r="O155" i="34" s="1"/>
  <c r="L156" i="34"/>
  <c r="E157" i="34"/>
  <c r="A233" i="43" l="1"/>
  <c r="B233" i="43" s="1"/>
  <c r="C232" i="43"/>
  <c r="D232" i="43" s="1"/>
  <c r="B73" i="6"/>
  <c r="K157" i="34"/>
  <c r="D158" i="34"/>
  <c r="C159" i="34"/>
  <c r="B159" i="34"/>
  <c r="L157" i="34"/>
  <c r="E158" i="34"/>
  <c r="N156" i="34"/>
  <c r="H157" i="34"/>
  <c r="M156" i="34"/>
  <c r="F157" i="34"/>
  <c r="O156" i="34" s="1"/>
  <c r="Q155" i="34"/>
  <c r="G156" i="34"/>
  <c r="P155" i="34" s="1"/>
  <c r="A234" i="43" l="1"/>
  <c r="B234" i="43" s="1"/>
  <c r="C233" i="43"/>
  <c r="D233" i="43" s="1"/>
  <c r="D73" i="6"/>
  <c r="F73" i="6" s="1"/>
  <c r="C74" i="6"/>
  <c r="E74" i="6" s="1"/>
  <c r="H74" i="6" s="1"/>
  <c r="G74" i="6" s="1"/>
  <c r="Q156" i="34"/>
  <c r="G157" i="34"/>
  <c r="P156" i="34" s="1"/>
  <c r="N157" i="34"/>
  <c r="H158" i="34"/>
  <c r="K158" i="34"/>
  <c r="C160" i="34"/>
  <c r="D159" i="34"/>
  <c r="B160" i="34"/>
  <c r="M157" i="34"/>
  <c r="F158" i="34"/>
  <c r="O157" i="34" s="1"/>
  <c r="L158" i="34"/>
  <c r="E159" i="34"/>
  <c r="A235" i="43" l="1"/>
  <c r="B235" i="43" s="1"/>
  <c r="C234" i="43"/>
  <c r="D234" i="43" s="1"/>
  <c r="B74" i="6"/>
  <c r="K159" i="34"/>
  <c r="D160" i="34"/>
  <c r="C161" i="34"/>
  <c r="B161" i="34"/>
  <c r="L159" i="34"/>
  <c r="E160" i="34"/>
  <c r="Q157" i="34"/>
  <c r="G158" i="34"/>
  <c r="P157" i="34" s="1"/>
  <c r="N158" i="34"/>
  <c r="H159" i="34"/>
  <c r="F159" i="34"/>
  <c r="O158" i="34" s="1"/>
  <c r="M158" i="34"/>
  <c r="A236" i="43" l="1"/>
  <c r="B236" i="43" s="1"/>
  <c r="C235" i="43"/>
  <c r="D235" i="43" s="1"/>
  <c r="D74" i="6"/>
  <c r="F74" i="6" s="1"/>
  <c r="C75" i="6"/>
  <c r="E75" i="6" s="1"/>
  <c r="H75" i="6" s="1"/>
  <c r="G75" i="6" s="1"/>
  <c r="Q158" i="34"/>
  <c r="G159" i="34"/>
  <c r="P158" i="34" s="1"/>
  <c r="N159" i="34"/>
  <c r="H160" i="34"/>
  <c r="K160" i="34"/>
  <c r="D161" i="34"/>
  <c r="C162" i="34"/>
  <c r="B162" i="34"/>
  <c r="M159" i="34"/>
  <c r="F160" i="34"/>
  <c r="O159" i="34" s="1"/>
  <c r="L160" i="34"/>
  <c r="E161" i="34"/>
  <c r="A237" i="43" l="1"/>
  <c r="B237" i="43" s="1"/>
  <c r="C236" i="43"/>
  <c r="D236" i="43" s="1"/>
  <c r="B75" i="6"/>
  <c r="L161" i="34"/>
  <c r="E162" i="34"/>
  <c r="N160" i="34"/>
  <c r="H161" i="34"/>
  <c r="K161" i="34"/>
  <c r="D162" i="34"/>
  <c r="C163" i="34"/>
  <c r="B163" i="34"/>
  <c r="M160" i="34"/>
  <c r="F161" i="34"/>
  <c r="O160" i="34" s="1"/>
  <c r="Q159" i="34"/>
  <c r="G160" i="34"/>
  <c r="P159" i="34" s="1"/>
  <c r="A238" i="43" l="1"/>
  <c r="B238" i="43" s="1"/>
  <c r="C237" i="43"/>
  <c r="D237" i="43" s="1"/>
  <c r="C76" i="6"/>
  <c r="E76" i="6" s="1"/>
  <c r="H76" i="6" s="1"/>
  <c r="G76" i="6" s="1"/>
  <c r="D75" i="6"/>
  <c r="F75" i="6" s="1"/>
  <c r="B76" i="6"/>
  <c r="K162" i="34"/>
  <c r="D163" i="34"/>
  <c r="C164" i="34"/>
  <c r="B164" i="34"/>
  <c r="M161" i="34"/>
  <c r="F162" i="34"/>
  <c r="O161" i="34" s="1"/>
  <c r="Q160" i="34"/>
  <c r="G161" i="34"/>
  <c r="P160" i="34" s="1"/>
  <c r="N161" i="34"/>
  <c r="H162" i="34"/>
  <c r="L162" i="34"/>
  <c r="E163" i="34"/>
  <c r="A239" i="43" l="1"/>
  <c r="B239" i="43" s="1"/>
  <c r="C238" i="43"/>
  <c r="D238" i="43" s="1"/>
  <c r="C77" i="6"/>
  <c r="E77" i="6" s="1"/>
  <c r="H77" i="6" s="1"/>
  <c r="G77" i="6" s="1"/>
  <c r="D76" i="6"/>
  <c r="F76" i="6" s="1"/>
  <c r="L163" i="34"/>
  <c r="E164" i="34"/>
  <c r="N162" i="34"/>
  <c r="H163" i="34"/>
  <c r="Q161" i="34"/>
  <c r="G162" i="34"/>
  <c r="P161" i="34" s="1"/>
  <c r="K163" i="34"/>
  <c r="D164" i="34"/>
  <c r="C165" i="34"/>
  <c r="B165" i="34"/>
  <c r="M162" i="34"/>
  <c r="F163" i="34"/>
  <c r="O162" i="34" s="1"/>
  <c r="A240" i="43" l="1"/>
  <c r="B240" i="43" s="1"/>
  <c r="C239" i="43"/>
  <c r="D239" i="43" s="1"/>
  <c r="B77" i="6"/>
  <c r="L164" i="34"/>
  <c r="E165" i="34"/>
  <c r="N163" i="34"/>
  <c r="H164" i="34"/>
  <c r="K164" i="34"/>
  <c r="C166" i="34"/>
  <c r="D165" i="34"/>
  <c r="B166" i="34"/>
  <c r="M163" i="34"/>
  <c r="F164" i="34"/>
  <c r="O163" i="34" s="1"/>
  <c r="Q162" i="34"/>
  <c r="G163" i="34"/>
  <c r="P162" i="34" s="1"/>
  <c r="A241" i="43" l="1"/>
  <c r="B241" i="43" s="1"/>
  <c r="C240" i="43"/>
  <c r="D240" i="43" s="1"/>
  <c r="C78" i="6"/>
  <c r="E78" i="6" s="1"/>
  <c r="H78" i="6" s="1"/>
  <c r="G78" i="6" s="1"/>
  <c r="D77" i="6"/>
  <c r="F77" i="6" s="1"/>
  <c r="B78" i="6"/>
  <c r="K165" i="34"/>
  <c r="D166" i="34"/>
  <c r="C167" i="34"/>
  <c r="B167" i="34"/>
  <c r="L165" i="34"/>
  <c r="E166" i="34"/>
  <c r="Q163" i="34"/>
  <c r="G164" i="34"/>
  <c r="P163" i="34" s="1"/>
  <c r="N164" i="34"/>
  <c r="H165" i="34"/>
  <c r="M164" i="34"/>
  <c r="F165" i="34"/>
  <c r="O164" i="34" s="1"/>
  <c r="A242" i="43" l="1"/>
  <c r="B242" i="43" s="1"/>
  <c r="C241" i="43"/>
  <c r="D241" i="43" s="1"/>
  <c r="C79" i="6"/>
  <c r="E79" i="6" s="1"/>
  <c r="H79" i="6" s="1"/>
  <c r="G79" i="6" s="1"/>
  <c r="D78" i="6"/>
  <c r="F78" i="6" s="1"/>
  <c r="B79" i="6"/>
  <c r="L166" i="34"/>
  <c r="E167" i="34"/>
  <c r="Q164" i="34"/>
  <c r="G165" i="34"/>
  <c r="P164" i="34" s="1"/>
  <c r="N165" i="34"/>
  <c r="H166" i="34"/>
  <c r="K166" i="34"/>
  <c r="D167" i="34"/>
  <c r="C168" i="34"/>
  <c r="B168" i="34"/>
  <c r="M165" i="34"/>
  <c r="F166" i="34"/>
  <c r="O165" i="34" s="1"/>
  <c r="A243" i="43" l="1"/>
  <c r="B243" i="43" s="1"/>
  <c r="C242" i="43"/>
  <c r="D242" i="43" s="1"/>
  <c r="D79" i="6"/>
  <c r="F79" i="6" s="1"/>
  <c r="C80" i="6"/>
  <c r="E80" i="6" s="1"/>
  <c r="H80" i="6" s="1"/>
  <c r="G80" i="6" s="1"/>
  <c r="L167" i="34"/>
  <c r="E168" i="34"/>
  <c r="N166" i="34"/>
  <c r="H167" i="34"/>
  <c r="K167" i="34"/>
  <c r="C169" i="34"/>
  <c r="D168" i="34"/>
  <c r="B169" i="34"/>
  <c r="M166" i="34"/>
  <c r="F167" i="34"/>
  <c r="O166" i="34" s="1"/>
  <c r="Q165" i="34"/>
  <c r="G166" i="34"/>
  <c r="P165" i="34" s="1"/>
  <c r="A244" i="43" l="1"/>
  <c r="B244" i="43" s="1"/>
  <c r="C243" i="43"/>
  <c r="D243" i="43" s="1"/>
  <c r="B80" i="6"/>
  <c r="M167" i="34"/>
  <c r="F168" i="34"/>
  <c r="O167" i="34" s="1"/>
  <c r="N167" i="34"/>
  <c r="H168" i="34"/>
  <c r="D169" i="34"/>
  <c r="K168" i="34"/>
  <c r="C170" i="34"/>
  <c r="B170" i="34"/>
  <c r="L168" i="34"/>
  <c r="E169" i="34"/>
  <c r="Q166" i="34"/>
  <c r="G167" i="34"/>
  <c r="P166" i="34" s="1"/>
  <c r="A245" i="43" l="1"/>
  <c r="B245" i="43" s="1"/>
  <c r="C244" i="43"/>
  <c r="D244" i="43" s="1"/>
  <c r="D80" i="6"/>
  <c r="F80" i="6" s="1"/>
  <c r="C81" i="6"/>
  <c r="E81" i="6" s="1"/>
  <c r="H81" i="6" s="1"/>
  <c r="G81" i="6" s="1"/>
  <c r="N168" i="34"/>
  <c r="H169" i="34"/>
  <c r="K169" i="34"/>
  <c r="C171" i="34"/>
  <c r="D170" i="34"/>
  <c r="B171" i="34"/>
  <c r="Q167" i="34"/>
  <c r="G168" i="34"/>
  <c r="P167" i="34" s="1"/>
  <c r="L169" i="34"/>
  <c r="E170" i="34"/>
  <c r="M168" i="34"/>
  <c r="F169" i="34"/>
  <c r="O168" i="34" s="1"/>
  <c r="A246" i="43" l="1"/>
  <c r="B246" i="43" s="1"/>
  <c r="C245" i="43"/>
  <c r="D245" i="43" s="1"/>
  <c r="B81" i="6"/>
  <c r="M169" i="34"/>
  <c r="F170" i="34"/>
  <c r="O169" i="34" s="1"/>
  <c r="H170" i="34"/>
  <c r="N169" i="34"/>
  <c r="K170" i="34"/>
  <c r="C172" i="34"/>
  <c r="D171" i="34"/>
  <c r="B172" i="34"/>
  <c r="E171" i="34"/>
  <c r="L170" i="34"/>
  <c r="Q168" i="34"/>
  <c r="G169" i="34"/>
  <c r="P168" i="34" s="1"/>
  <c r="A247" i="43" l="1"/>
  <c r="B247" i="43" s="1"/>
  <c r="C246" i="43"/>
  <c r="D246" i="43" s="1"/>
  <c r="D81" i="6"/>
  <c r="F81" i="6" s="1"/>
  <c r="C82" i="6"/>
  <c r="E82" i="6" s="1"/>
  <c r="H82" i="6" s="1"/>
  <c r="G82" i="6" s="1"/>
  <c r="K171" i="34"/>
  <c r="D172" i="34"/>
  <c r="C173" i="34"/>
  <c r="B173" i="34"/>
  <c r="L171" i="34"/>
  <c r="E172" i="34"/>
  <c r="N170" i="34"/>
  <c r="H171" i="34"/>
  <c r="M170" i="34"/>
  <c r="F171" i="34"/>
  <c r="O170" i="34" s="1"/>
  <c r="Q169" i="34"/>
  <c r="G170" i="34"/>
  <c r="P169" i="34" s="1"/>
  <c r="A248" i="43" l="1"/>
  <c r="B248" i="43" s="1"/>
  <c r="C247" i="43"/>
  <c r="D247" i="43" s="1"/>
  <c r="B82" i="6"/>
  <c r="N171" i="34"/>
  <c r="H172" i="34"/>
  <c r="K172" i="34"/>
  <c r="C174" i="34"/>
  <c r="D173" i="34"/>
  <c r="B174" i="34"/>
  <c r="M171" i="34"/>
  <c r="F172" i="34"/>
  <c r="O171" i="34" s="1"/>
  <c r="Q170" i="34"/>
  <c r="G171" i="34"/>
  <c r="P170" i="34" s="1"/>
  <c r="L172" i="34"/>
  <c r="E173" i="34"/>
  <c r="A249" i="43" l="1"/>
  <c r="B249" i="43" s="1"/>
  <c r="C248" i="43"/>
  <c r="D248" i="43" s="1"/>
  <c r="D82" i="6"/>
  <c r="F82" i="6" s="1"/>
  <c r="C83" i="6"/>
  <c r="E83" i="6" s="1"/>
  <c r="H83" i="6" s="1"/>
  <c r="G83" i="6" s="1"/>
  <c r="K173" i="34"/>
  <c r="D174" i="34"/>
  <c r="C175" i="34"/>
  <c r="B175" i="34"/>
  <c r="L173" i="34"/>
  <c r="E174" i="34"/>
  <c r="Q171" i="34"/>
  <c r="G172" i="34"/>
  <c r="P171" i="34" s="1"/>
  <c r="H173" i="34"/>
  <c r="N172" i="34"/>
  <c r="M172" i="34"/>
  <c r="F173" i="34"/>
  <c r="O172" i="34" s="1"/>
  <c r="A250" i="43" l="1"/>
  <c r="B250" i="43" s="1"/>
  <c r="C249" i="43"/>
  <c r="D249" i="43" s="1"/>
  <c r="B83" i="6"/>
  <c r="Q172" i="34"/>
  <c r="G173" i="34"/>
  <c r="P172" i="34" s="1"/>
  <c r="E175" i="34"/>
  <c r="L174" i="34"/>
  <c r="N173" i="34"/>
  <c r="H174" i="34"/>
  <c r="K174" i="34"/>
  <c r="C176" i="34"/>
  <c r="B176" i="34"/>
  <c r="D175" i="34"/>
  <c r="M173" i="34"/>
  <c r="F174" i="34"/>
  <c r="O173" i="34" s="1"/>
  <c r="A251" i="43" l="1"/>
  <c r="B251" i="43" s="1"/>
  <c r="C250" i="43"/>
  <c r="D250" i="43" s="1"/>
  <c r="C84" i="6"/>
  <c r="E84" i="6" s="1"/>
  <c r="H84" i="6" s="1"/>
  <c r="G84" i="6" s="1"/>
  <c r="D83" i="6"/>
  <c r="F83" i="6" s="1"/>
  <c r="B84" i="6"/>
  <c r="M174" i="34"/>
  <c r="F175" i="34"/>
  <c r="O174" i="34" s="1"/>
  <c r="L175" i="34"/>
  <c r="E176" i="34"/>
  <c r="Q173" i="34"/>
  <c r="G174" i="34"/>
  <c r="P173" i="34" s="1"/>
  <c r="K175" i="34"/>
  <c r="D176" i="34"/>
  <c r="B177" i="34"/>
  <c r="C177" i="34"/>
  <c r="N174" i="34"/>
  <c r="H175" i="34"/>
  <c r="A252" i="43" l="1"/>
  <c r="B252" i="43" s="1"/>
  <c r="C251" i="43"/>
  <c r="D251" i="43" s="1"/>
  <c r="C85" i="6"/>
  <c r="E85" i="6" s="1"/>
  <c r="H85" i="6" s="1"/>
  <c r="G85" i="6" s="1"/>
  <c r="D84" i="6"/>
  <c r="F84" i="6" s="1"/>
  <c r="B85" i="6"/>
  <c r="K176" i="34"/>
  <c r="B178" i="34"/>
  <c r="D177" i="34"/>
  <c r="C178" i="34"/>
  <c r="N175" i="34"/>
  <c r="H176" i="34"/>
  <c r="Q174" i="34"/>
  <c r="G175" i="34"/>
  <c r="P174" i="34" s="1"/>
  <c r="L176" i="34"/>
  <c r="E177" i="34"/>
  <c r="M175" i="34"/>
  <c r="F176" i="34"/>
  <c r="O175" i="34" s="1"/>
  <c r="A253" i="43" l="1"/>
  <c r="B253" i="43" s="1"/>
  <c r="C252" i="43"/>
  <c r="D252" i="43" s="1"/>
  <c r="C86" i="6"/>
  <c r="E86" i="6" s="1"/>
  <c r="H86" i="6" s="1"/>
  <c r="G86" i="6" s="1"/>
  <c r="D85" i="6"/>
  <c r="F85" i="6" s="1"/>
  <c r="L177" i="34"/>
  <c r="E178" i="34"/>
  <c r="K177" i="34"/>
  <c r="B179" i="34"/>
  <c r="D178" i="34"/>
  <c r="C179" i="34"/>
  <c r="N176" i="34"/>
  <c r="H177" i="34"/>
  <c r="Q175" i="34"/>
  <c r="G176" i="34"/>
  <c r="P175" i="34" s="1"/>
  <c r="M176" i="34"/>
  <c r="F177" i="34"/>
  <c r="O176" i="34" s="1"/>
  <c r="A254" i="43" l="1"/>
  <c r="B254" i="43" s="1"/>
  <c r="C253" i="43"/>
  <c r="D253" i="43" s="1"/>
  <c r="B86" i="6"/>
  <c r="M177" i="34"/>
  <c r="F178" i="34"/>
  <c r="O177" i="34" s="1"/>
  <c r="Q176" i="34"/>
  <c r="G177" i="34"/>
  <c r="P176" i="34" s="1"/>
  <c r="L178" i="34"/>
  <c r="E179" i="34"/>
  <c r="K178" i="34"/>
  <c r="C180" i="34"/>
  <c r="B180" i="34"/>
  <c r="D179" i="34"/>
  <c r="N177" i="34"/>
  <c r="H178" i="34"/>
  <c r="A255" i="43" l="1"/>
  <c r="B255" i="43" s="1"/>
  <c r="C254" i="43"/>
  <c r="D254" i="43" s="1"/>
  <c r="D86" i="6"/>
  <c r="F86" i="6" s="1"/>
  <c r="C87" i="6"/>
  <c r="E87" i="6" s="1"/>
  <c r="H87" i="6" s="1"/>
  <c r="G87" i="6" s="1"/>
  <c r="Q177" i="34"/>
  <c r="G178" i="34"/>
  <c r="P177" i="34" s="1"/>
  <c r="F179" i="34"/>
  <c r="O178" i="34" s="1"/>
  <c r="M178" i="34"/>
  <c r="L179" i="34"/>
  <c r="E180" i="34"/>
  <c r="N178" i="34"/>
  <c r="H179" i="34"/>
  <c r="D180" i="34"/>
  <c r="C181" i="34"/>
  <c r="K179" i="34"/>
  <c r="B181" i="34"/>
  <c r="A256" i="43" l="1"/>
  <c r="B256" i="43" s="1"/>
  <c r="C255" i="43"/>
  <c r="D255" i="43" s="1"/>
  <c r="B87" i="6"/>
  <c r="M179" i="34"/>
  <c r="F180" i="34"/>
  <c r="O179" i="34" s="1"/>
  <c r="K180" i="34"/>
  <c r="D181" i="34"/>
  <c r="C182" i="34"/>
  <c r="B182" i="34"/>
  <c r="L180" i="34"/>
  <c r="E181" i="34"/>
  <c r="Q178" i="34"/>
  <c r="G179" i="34"/>
  <c r="P178" i="34" s="1"/>
  <c r="N179" i="34"/>
  <c r="H180" i="34"/>
  <c r="A257" i="43" l="1"/>
  <c r="B257" i="43" s="1"/>
  <c r="C256" i="43"/>
  <c r="D256" i="43" s="1"/>
  <c r="D87" i="6"/>
  <c r="F87" i="6" s="1"/>
  <c r="C88" i="6"/>
  <c r="E88" i="6" s="1"/>
  <c r="H88" i="6" s="1"/>
  <c r="G88" i="6" s="1"/>
  <c r="Q179" i="34"/>
  <c r="G180" i="34"/>
  <c r="P179" i="34" s="1"/>
  <c r="H181" i="34"/>
  <c r="N180" i="34"/>
  <c r="K181" i="34"/>
  <c r="C183" i="34"/>
  <c r="B183" i="34"/>
  <c r="D182" i="34"/>
  <c r="M180" i="34"/>
  <c r="F181" i="34"/>
  <c r="O180" i="34" s="1"/>
  <c r="L181" i="34"/>
  <c r="E182" i="34"/>
  <c r="A258" i="43" l="1"/>
  <c r="B258" i="43" s="1"/>
  <c r="C257" i="43"/>
  <c r="D257" i="43" s="1"/>
  <c r="B88" i="6"/>
  <c r="F182" i="34"/>
  <c r="O181" i="34" s="1"/>
  <c r="M181" i="34"/>
  <c r="L182" i="34"/>
  <c r="E183" i="34"/>
  <c r="N181" i="34"/>
  <c r="H182" i="34"/>
  <c r="K182" i="34"/>
  <c r="C184" i="34"/>
  <c r="B184" i="34"/>
  <c r="D183" i="34"/>
  <c r="Q180" i="34"/>
  <c r="G181" i="34"/>
  <c r="P180" i="34" s="1"/>
  <c r="A259" i="43" l="1"/>
  <c r="B259" i="43" s="1"/>
  <c r="C258" i="43"/>
  <c r="D258" i="43" s="1"/>
  <c r="D88" i="6"/>
  <c r="F88" i="6" s="1"/>
  <c r="C89" i="6"/>
  <c r="E89" i="6" s="1"/>
  <c r="H89" i="6" s="1"/>
  <c r="G89" i="6" s="1"/>
  <c r="K183" i="34"/>
  <c r="C185" i="34"/>
  <c r="D184" i="34"/>
  <c r="B185" i="34"/>
  <c r="Q181" i="34"/>
  <c r="G182" i="34"/>
  <c r="P181" i="34" s="1"/>
  <c r="N182" i="34"/>
  <c r="H183" i="34"/>
  <c r="M182" i="34"/>
  <c r="F183" i="34"/>
  <c r="O182" i="34" s="1"/>
  <c r="L183" i="34"/>
  <c r="E184" i="34"/>
  <c r="A260" i="43" l="1"/>
  <c r="B260" i="43" s="1"/>
  <c r="C259" i="43"/>
  <c r="D259" i="43" s="1"/>
  <c r="B89" i="6"/>
  <c r="K184" i="34"/>
  <c r="D185" i="34"/>
  <c r="B186" i="34"/>
  <c r="C186" i="34"/>
  <c r="E185" i="34"/>
  <c r="L184" i="34"/>
  <c r="N183" i="34"/>
  <c r="H184" i="34"/>
  <c r="Q182" i="34"/>
  <c r="G183" i="34"/>
  <c r="P182" i="34" s="1"/>
  <c r="F184" i="34"/>
  <c r="O183" i="34" s="1"/>
  <c r="M183" i="34"/>
  <c r="A261" i="43" l="1"/>
  <c r="B261" i="43" s="1"/>
  <c r="C260" i="43"/>
  <c r="D260" i="43" s="1"/>
  <c r="D89" i="6"/>
  <c r="F89" i="6" s="1"/>
  <c r="C90" i="6"/>
  <c r="E90" i="6" s="1"/>
  <c r="Q183" i="34"/>
  <c r="G184" i="34"/>
  <c r="P183" i="34" s="1"/>
  <c r="L185" i="34"/>
  <c r="E186" i="34"/>
  <c r="M184" i="34"/>
  <c r="F185" i="34"/>
  <c r="O184" i="34" s="1"/>
  <c r="N184" i="34"/>
  <c r="H185" i="34"/>
  <c r="K185" i="34"/>
  <c r="C187" i="34"/>
  <c r="D186" i="34"/>
  <c r="B187" i="34"/>
  <c r="A262" i="43" l="1"/>
  <c r="B262" i="43" s="1"/>
  <c r="C261" i="43"/>
  <c r="D261" i="43" s="1"/>
  <c r="H90" i="6"/>
  <c r="G90" i="6" s="1"/>
  <c r="B90" i="6"/>
  <c r="M185" i="34"/>
  <c r="F186" i="34"/>
  <c r="O185" i="34" s="1"/>
  <c r="K186" i="34"/>
  <c r="D187" i="34"/>
  <c r="C188" i="34"/>
  <c r="B188" i="34"/>
  <c r="L186" i="34"/>
  <c r="E187" i="34"/>
  <c r="Q184" i="34"/>
  <c r="G185" i="34"/>
  <c r="P184" i="34" s="1"/>
  <c r="N185" i="34"/>
  <c r="H186" i="34"/>
  <c r="A263" i="43" l="1"/>
  <c r="B263" i="43" s="1"/>
  <c r="C262" i="43"/>
  <c r="D262" i="43" s="1"/>
  <c r="D90" i="6"/>
  <c r="F90" i="6" s="1"/>
  <c r="C91" i="6"/>
  <c r="E91" i="6" s="1"/>
  <c r="L187" i="34"/>
  <c r="E188" i="34"/>
  <c r="Q185" i="34"/>
  <c r="G186" i="34"/>
  <c r="P185" i="34" s="1"/>
  <c r="N186" i="34"/>
  <c r="H187" i="34"/>
  <c r="K187" i="34"/>
  <c r="C189" i="34"/>
  <c r="D188" i="34"/>
  <c r="B189" i="34"/>
  <c r="M186" i="34"/>
  <c r="F187" i="34"/>
  <c r="O186" i="34" s="1"/>
  <c r="A264" i="43" l="1"/>
  <c r="B264" i="43" s="1"/>
  <c r="C263" i="43"/>
  <c r="D263" i="43" s="1"/>
  <c r="H91" i="6"/>
  <c r="G91" i="6" s="1"/>
  <c r="B91" i="6"/>
  <c r="M187" i="34"/>
  <c r="F188" i="34"/>
  <c r="O187" i="34" s="1"/>
  <c r="K188" i="34"/>
  <c r="C190" i="34"/>
  <c r="L191" i="34" s="1"/>
  <c r="D189" i="34"/>
  <c r="B190" i="34"/>
  <c r="K191" i="34" s="1"/>
  <c r="L188" i="34"/>
  <c r="E189" i="34"/>
  <c r="Q186" i="34"/>
  <c r="G187" i="34"/>
  <c r="P186" i="34" s="1"/>
  <c r="H188" i="34"/>
  <c r="N187" i="34"/>
  <c r="A265" i="43" l="1"/>
  <c r="B265" i="43" s="1"/>
  <c r="C264" i="43"/>
  <c r="D264" i="43" s="1"/>
  <c r="C92" i="6"/>
  <c r="E92" i="6" s="1"/>
  <c r="H92" i="6" s="1"/>
  <c r="G92" i="6" s="1"/>
  <c r="D91" i="6"/>
  <c r="F91" i="6" s="1"/>
  <c r="B92" i="6"/>
  <c r="M188" i="34"/>
  <c r="F189" i="34"/>
  <c r="O188" i="34" s="1"/>
  <c r="Q187" i="34"/>
  <c r="G188" i="34"/>
  <c r="P187" i="34" s="1"/>
  <c r="N188" i="34"/>
  <c r="H189" i="34"/>
  <c r="B191" i="34"/>
  <c r="K189" i="34"/>
  <c r="C191" i="34"/>
  <c r="D190" i="34"/>
  <c r="M191" i="34" s="1"/>
  <c r="L189" i="34"/>
  <c r="E190" i="34"/>
  <c r="N191" i="34" s="1"/>
  <c r="A266" i="43" l="1"/>
  <c r="B266" i="43" s="1"/>
  <c r="C265" i="43"/>
  <c r="D265" i="43" s="1"/>
  <c r="C93" i="6"/>
  <c r="E93" i="6" s="1"/>
  <c r="H93" i="6" s="1"/>
  <c r="G93" i="6" s="1"/>
  <c r="D92" i="6"/>
  <c r="F92" i="6" s="1"/>
  <c r="B93" i="6"/>
  <c r="N189" i="34"/>
  <c r="H190" i="34"/>
  <c r="Q191" i="34" s="1"/>
  <c r="M189" i="34"/>
  <c r="F190" i="34"/>
  <c r="Q188" i="34"/>
  <c r="G189" i="34"/>
  <c r="P188" i="34" s="1"/>
  <c r="L190" i="34"/>
  <c r="G191" i="34"/>
  <c r="P190" i="34" s="1"/>
  <c r="E191" i="34"/>
  <c r="C192" i="34"/>
  <c r="D191" i="34"/>
  <c r="K190" i="34"/>
  <c r="A267" i="43" l="1"/>
  <c r="B267" i="43" s="1"/>
  <c r="C266" i="43"/>
  <c r="D266" i="43" s="1"/>
  <c r="C94" i="6"/>
  <c r="E94" i="6" s="1"/>
  <c r="H94" i="6" s="1"/>
  <c r="G94" i="6" s="1"/>
  <c r="D93" i="6"/>
  <c r="F93" i="6" s="1"/>
  <c r="B94" i="6"/>
  <c r="O189" i="34"/>
  <c r="O191" i="34"/>
  <c r="M190" i="34"/>
  <c r="F191" i="34"/>
  <c r="O190" i="34" s="1"/>
  <c r="N190" i="34"/>
  <c r="H191" i="34"/>
  <c r="Q190" i="34" s="1"/>
  <c r="E192" i="34"/>
  <c r="G192" i="34" s="1"/>
  <c r="Q189" i="34"/>
  <c r="G190" i="34"/>
  <c r="A268" i="43" l="1"/>
  <c r="B268" i="43" s="1"/>
  <c r="C267" i="43"/>
  <c r="D267" i="43" s="1"/>
  <c r="D94" i="6"/>
  <c r="F94" i="6" s="1"/>
  <c r="C95" i="6"/>
  <c r="E95" i="6" s="1"/>
  <c r="H95" i="6" s="1"/>
  <c r="G95" i="6" s="1"/>
  <c r="P189" i="34"/>
  <c r="P191" i="34"/>
  <c r="A269" i="43" l="1"/>
  <c r="B269" i="43" s="1"/>
  <c r="C268" i="43"/>
  <c r="D268" i="43" s="1"/>
  <c r="B95" i="6"/>
  <c r="A270" i="43" l="1"/>
  <c r="B270" i="43" s="1"/>
  <c r="C269" i="43"/>
  <c r="D269" i="43" s="1"/>
  <c r="C96" i="6"/>
  <c r="E96" i="6" s="1"/>
  <c r="H96" i="6" s="1"/>
  <c r="G96" i="6" s="1"/>
  <c r="B96" i="6"/>
  <c r="D95" i="6"/>
  <c r="F95" i="6" s="1"/>
  <c r="A271" i="43" l="1"/>
  <c r="B271" i="43" s="1"/>
  <c r="C270" i="43"/>
  <c r="D270" i="43" s="1"/>
  <c r="C97" i="6"/>
  <c r="E97" i="6" s="1"/>
  <c r="H97" i="6" s="1"/>
  <c r="G97" i="6" s="1"/>
  <c r="B97" i="6"/>
  <c r="D96" i="6"/>
  <c r="F96" i="6" s="1"/>
  <c r="A272" i="43" l="1"/>
  <c r="B272" i="43" s="1"/>
  <c r="C271" i="43"/>
  <c r="D271" i="43" s="1"/>
  <c r="D97" i="6"/>
  <c r="F97" i="6" s="1"/>
  <c r="B98" i="6"/>
  <c r="B99" i="6" s="1"/>
  <c r="C98" i="6"/>
  <c r="E98" i="6" s="1"/>
  <c r="H98" i="6" s="1"/>
  <c r="G98" i="6" s="1"/>
  <c r="A273" i="43" l="1"/>
  <c r="B273" i="43" s="1"/>
  <c r="C272" i="43"/>
  <c r="D272" i="43" s="1"/>
  <c r="D98" i="6"/>
  <c r="F98" i="6" s="1"/>
  <c r="C99" i="6"/>
  <c r="E99" i="6" s="1"/>
  <c r="H99" i="6" s="1"/>
  <c r="G99" i="6" s="1"/>
  <c r="C100" i="6"/>
  <c r="E100" i="6" s="1"/>
  <c r="H100" i="6" s="1"/>
  <c r="G100" i="6" s="1"/>
  <c r="D99" i="6"/>
  <c r="F99" i="6" s="1"/>
  <c r="B100" i="6"/>
  <c r="A274" i="43" l="1"/>
  <c r="B274" i="43" s="1"/>
  <c r="C273" i="43"/>
  <c r="D273" i="43" s="1"/>
  <c r="C101" i="6"/>
  <c r="E101" i="6" s="1"/>
  <c r="H101" i="6" s="1"/>
  <c r="G101" i="6" s="1"/>
  <c r="D100" i="6"/>
  <c r="F100" i="6" s="1"/>
  <c r="A275" i="43" l="1"/>
  <c r="B275" i="43" s="1"/>
  <c r="C274" i="43"/>
  <c r="D274" i="43" s="1"/>
  <c r="B101" i="6"/>
  <c r="C102" i="6" s="1"/>
  <c r="E102" i="6" s="1"/>
  <c r="H102" i="6" s="1"/>
  <c r="G102" i="6" s="1"/>
  <c r="A276" i="43" l="1"/>
  <c r="B276" i="43" s="1"/>
  <c r="C275" i="43"/>
  <c r="D275" i="43" s="1"/>
  <c r="D101" i="6"/>
  <c r="F101" i="6" s="1"/>
  <c r="B102" i="6"/>
  <c r="D102" i="6" s="1"/>
  <c r="F102" i="6" s="1"/>
  <c r="A277" i="43" l="1"/>
  <c r="B277" i="43" s="1"/>
  <c r="C276" i="43"/>
  <c r="D276" i="43" s="1"/>
  <c r="C103" i="6"/>
  <c r="E103" i="6" s="1"/>
  <c r="H103" i="6" s="1"/>
  <c r="G103" i="6" s="1"/>
  <c r="A278" i="43" l="1"/>
  <c r="B278" i="43" s="1"/>
  <c r="C277" i="43"/>
  <c r="D277" i="43" s="1"/>
  <c r="B103" i="6"/>
  <c r="D103" i="6" s="1"/>
  <c r="F103" i="6" s="1"/>
  <c r="A279" i="43" l="1"/>
  <c r="B279" i="43" s="1"/>
  <c r="C278" i="43"/>
  <c r="D278" i="43" s="1"/>
  <c r="C104" i="6"/>
  <c r="E104" i="6" s="1"/>
  <c r="H104" i="6" s="1"/>
  <c r="G104" i="6" s="1"/>
  <c r="B104" i="6"/>
  <c r="A280" i="43" l="1"/>
  <c r="B280" i="43" s="1"/>
  <c r="C279" i="43"/>
  <c r="D279" i="43" s="1"/>
  <c r="D104" i="6"/>
  <c r="F104" i="6" s="1"/>
  <c r="C105" i="6"/>
  <c r="E105" i="6" s="1"/>
  <c r="H105" i="6" s="1"/>
  <c r="G105" i="6" s="1"/>
  <c r="A281" i="43" l="1"/>
  <c r="B281" i="43" s="1"/>
  <c r="C280" i="43"/>
  <c r="D280" i="43" s="1"/>
  <c r="B105" i="6"/>
  <c r="A282" i="43" l="1"/>
  <c r="B282" i="43" s="1"/>
  <c r="C281" i="43"/>
  <c r="D281" i="43" s="1"/>
  <c r="D105" i="6"/>
  <c r="F105" i="6" s="1"/>
  <c r="C106" i="6"/>
  <c r="E106" i="6" s="1"/>
  <c r="H106" i="6" s="1"/>
  <c r="G106" i="6" s="1"/>
  <c r="A283" i="43" l="1"/>
  <c r="B283" i="43" s="1"/>
  <c r="C282" i="43"/>
  <c r="D282" i="43" s="1"/>
  <c r="B106" i="6"/>
  <c r="A284" i="43" l="1"/>
  <c r="B284" i="43" s="1"/>
  <c r="C283" i="43"/>
  <c r="D283" i="43" s="1"/>
  <c r="C107" i="6"/>
  <c r="E107" i="6" s="1"/>
  <c r="H107" i="6" s="1"/>
  <c r="G107" i="6" s="1"/>
  <c r="D106" i="6"/>
  <c r="F106" i="6" s="1"/>
  <c r="A285" i="43" l="1"/>
  <c r="B285" i="43" s="1"/>
  <c r="C284" i="43"/>
  <c r="D284" i="43" s="1"/>
  <c r="B107" i="6"/>
  <c r="A286" i="43" l="1"/>
  <c r="B286" i="43" s="1"/>
  <c r="C285" i="43"/>
  <c r="D285" i="43" s="1"/>
  <c r="D107" i="6"/>
  <c r="F107" i="6" s="1"/>
  <c r="C108" i="6"/>
  <c r="E108" i="6" s="1"/>
  <c r="H108" i="6" s="1"/>
  <c r="G108" i="6" s="1"/>
  <c r="A287" i="43" l="1"/>
  <c r="B287" i="43" s="1"/>
  <c r="C286" i="43"/>
  <c r="D286" i="43" s="1"/>
  <c r="B108" i="6"/>
  <c r="A288" i="43" l="1"/>
  <c r="B288" i="43" s="1"/>
  <c r="C287" i="43"/>
  <c r="D287" i="43" s="1"/>
  <c r="C109" i="6"/>
  <c r="E109" i="6" s="1"/>
  <c r="H109" i="6" s="1"/>
  <c r="G109" i="6" s="1"/>
  <c r="D108" i="6"/>
  <c r="F108" i="6" s="1"/>
  <c r="C288" i="43" l="1"/>
  <c r="D288" i="43" s="1"/>
  <c r="A289" i="43"/>
  <c r="B289" i="43" s="1"/>
  <c r="B109" i="6"/>
  <c r="C289" i="43" l="1"/>
  <c r="D289" i="43" s="1"/>
  <c r="A290" i="43"/>
  <c r="B290" i="43" s="1"/>
  <c r="D109" i="6"/>
  <c r="F109" i="6" s="1"/>
  <c r="C110" i="6"/>
  <c r="E110" i="6" s="1"/>
  <c r="H110" i="6" s="1"/>
  <c r="G110" i="6" s="1"/>
  <c r="C290" i="43" l="1"/>
  <c r="D290" i="43" s="1"/>
  <c r="A291" i="43"/>
  <c r="B291" i="43" s="1"/>
  <c r="B110" i="6"/>
  <c r="C291" i="43" l="1"/>
  <c r="D291" i="43" s="1"/>
  <c r="A292" i="43"/>
  <c r="B292" i="43" s="1"/>
  <c r="C111" i="6"/>
  <c r="E111" i="6" s="1"/>
  <c r="H111" i="6" s="1"/>
  <c r="G111" i="6" s="1"/>
  <c r="D110" i="6"/>
  <c r="F110" i="6" s="1"/>
  <c r="C292" i="43" l="1"/>
  <c r="D292" i="43" s="1"/>
  <c r="A293" i="43"/>
  <c r="B293" i="43" s="1"/>
  <c r="B111" i="6"/>
  <c r="C112" i="6" s="1"/>
  <c r="E112" i="6" s="1"/>
  <c r="H112" i="6" s="1"/>
  <c r="G112" i="6" s="1"/>
  <c r="C293" i="43" l="1"/>
  <c r="D293" i="43" s="1"/>
  <c r="A294" i="43"/>
  <c r="B294" i="43" s="1"/>
  <c r="D111" i="6"/>
  <c r="F111" i="6" s="1"/>
  <c r="B112" i="6"/>
  <c r="D112" i="6" s="1"/>
  <c r="F112" i="6" s="1"/>
  <c r="C294" i="43" l="1"/>
  <c r="D294" i="43" s="1"/>
  <c r="A295" i="43"/>
  <c r="B295" i="43" s="1"/>
  <c r="C113" i="6"/>
  <c r="E113" i="6" s="1"/>
  <c r="H113" i="6" s="1"/>
  <c r="G113" i="6" s="1"/>
  <c r="B113" i="6"/>
  <c r="C295" i="43" l="1"/>
  <c r="D295" i="43" s="1"/>
  <c r="A296" i="43"/>
  <c r="B296" i="43" s="1"/>
  <c r="D113" i="6"/>
  <c r="F113" i="6" s="1"/>
  <c r="C114" i="6"/>
  <c r="E114" i="6" s="1"/>
  <c r="H114" i="6" s="1"/>
  <c r="G114" i="6" s="1"/>
  <c r="C296" i="43" l="1"/>
  <c r="D296" i="43" s="1"/>
  <c r="A297" i="43"/>
  <c r="B297" i="43" s="1"/>
  <c r="B114" i="6"/>
  <c r="C297" i="43" l="1"/>
  <c r="D297" i="43" s="1"/>
  <c r="A298" i="43"/>
  <c r="B298" i="43" s="1"/>
  <c r="C115" i="6"/>
  <c r="E115" i="6" s="1"/>
  <c r="H115" i="6" s="1"/>
  <c r="G115" i="6" s="1"/>
  <c r="D114" i="6"/>
  <c r="F114" i="6" s="1"/>
  <c r="B115" i="6"/>
  <c r="C298" i="43" l="1"/>
  <c r="D298" i="43" s="1"/>
  <c r="A299" i="43"/>
  <c r="B299" i="43" s="1"/>
  <c r="C116" i="6"/>
  <c r="E116" i="6" s="1"/>
  <c r="D115" i="6"/>
  <c r="F115" i="6" s="1"/>
  <c r="C299" i="43" l="1"/>
  <c r="D299" i="43" s="1"/>
  <c r="A300" i="43"/>
  <c r="B300" i="43" s="1"/>
  <c r="H116" i="6"/>
  <c r="G116" i="6" s="1"/>
  <c r="B116" i="6"/>
  <c r="C300" i="43" l="1"/>
  <c r="D300" i="43" s="1"/>
  <c r="A301" i="43"/>
  <c r="B301" i="43" s="1"/>
  <c r="D116" i="6"/>
  <c r="F116" i="6" s="1"/>
  <c r="C117" i="6"/>
  <c r="E117" i="6" s="1"/>
  <c r="H117" i="6" s="1"/>
  <c r="G117" i="6" s="1"/>
  <c r="C301" i="43" l="1"/>
  <c r="D301" i="43" s="1"/>
  <c r="A302" i="43"/>
  <c r="B302" i="43" s="1"/>
  <c r="B117" i="6"/>
  <c r="C118" i="6" s="1"/>
  <c r="E118" i="6" s="1"/>
  <c r="H118" i="6" s="1"/>
  <c r="G118" i="6" s="1"/>
  <c r="C302" i="43" l="1"/>
  <c r="D302" i="43" s="1"/>
  <c r="A303" i="43"/>
  <c r="B303" i="43" s="1"/>
  <c r="B118" i="6"/>
  <c r="C119" i="6" s="1"/>
  <c r="E119" i="6" s="1"/>
  <c r="H119" i="6" s="1"/>
  <c r="G119" i="6" s="1"/>
  <c r="D117" i="6"/>
  <c r="F117" i="6" s="1"/>
  <c r="A304" i="43" l="1"/>
  <c r="B304" i="43" s="1"/>
  <c r="C303" i="43"/>
  <c r="D303" i="43" s="1"/>
  <c r="B119" i="6"/>
  <c r="D119" i="6" s="1"/>
  <c r="F119" i="6" s="1"/>
  <c r="D118" i="6"/>
  <c r="F118" i="6" s="1"/>
  <c r="C304" i="43" l="1"/>
  <c r="D304" i="43" s="1"/>
  <c r="A305" i="43"/>
  <c r="B305" i="43" s="1"/>
  <c r="C120" i="6"/>
  <c r="E120" i="6" s="1"/>
  <c r="H120" i="6" s="1"/>
  <c r="G120" i="6" s="1"/>
  <c r="B120" i="6"/>
  <c r="C305" i="43" l="1"/>
  <c r="D305" i="43" s="1"/>
  <c r="A306" i="43"/>
  <c r="B306" i="43" s="1"/>
  <c r="D120" i="6"/>
  <c r="F120" i="6" s="1"/>
  <c r="C121" i="6"/>
  <c r="E121" i="6" s="1"/>
  <c r="H121" i="6" s="1"/>
  <c r="G121" i="6" s="1"/>
  <c r="C306" i="43" l="1"/>
  <c r="D306" i="43" s="1"/>
  <c r="A307" i="43"/>
  <c r="B307" i="43" s="1"/>
  <c r="B121" i="6"/>
  <c r="C307" i="43" l="1"/>
  <c r="D307" i="43" s="1"/>
  <c r="A308" i="43"/>
  <c r="B308" i="43" s="1"/>
  <c r="D121" i="6"/>
  <c r="F121" i="6" s="1"/>
  <c r="C122" i="6"/>
  <c r="E122" i="6" s="1"/>
  <c r="H122" i="6" s="1"/>
  <c r="G122" i="6" s="1"/>
  <c r="C308" i="43" l="1"/>
  <c r="D308" i="43" s="1"/>
  <c r="A309" i="43"/>
  <c r="B309" i="43" s="1"/>
  <c r="B122" i="6"/>
  <c r="C309" i="43" l="1"/>
  <c r="D309" i="43" s="1"/>
  <c r="A310" i="43"/>
  <c r="B310" i="43" s="1"/>
  <c r="D122" i="6"/>
  <c r="F122" i="6" s="1"/>
  <c r="C123" i="6"/>
  <c r="E123" i="6" s="1"/>
  <c r="H123" i="6" s="1"/>
  <c r="G123" i="6" s="1"/>
  <c r="C310" i="43" l="1"/>
  <c r="D310" i="43" s="1"/>
  <c r="A311" i="43"/>
  <c r="B311" i="43" s="1"/>
  <c r="B123" i="6"/>
  <c r="C311" i="43" l="1"/>
  <c r="D311" i="43" s="1"/>
  <c r="A312" i="43"/>
  <c r="B312" i="43" s="1"/>
  <c r="D123" i="6"/>
  <c r="F123" i="6" s="1"/>
  <c r="C124" i="6"/>
  <c r="E124" i="6" s="1"/>
  <c r="H124" i="6" s="1"/>
  <c r="G124" i="6" s="1"/>
  <c r="C312" i="43" l="1"/>
  <c r="D312" i="43" s="1"/>
  <c r="A313" i="43"/>
  <c r="B313" i="43" s="1"/>
  <c r="B124" i="6"/>
  <c r="C313" i="43" l="1"/>
  <c r="D313" i="43" s="1"/>
  <c r="A314" i="43"/>
  <c r="B314" i="43" s="1"/>
  <c r="D124" i="6"/>
  <c r="F124" i="6" s="1"/>
  <c r="C125" i="6"/>
  <c r="E125" i="6" s="1"/>
  <c r="H125" i="6" s="1"/>
  <c r="G125" i="6" s="1"/>
  <c r="C314" i="43" l="1"/>
  <c r="D314" i="43" s="1"/>
  <c r="A315" i="43"/>
  <c r="B315" i="43" s="1"/>
  <c r="B125" i="6"/>
  <c r="C315" i="43" l="1"/>
  <c r="D315" i="43" s="1"/>
  <c r="A316" i="43"/>
  <c r="B316" i="43" s="1"/>
  <c r="D125" i="6"/>
  <c r="F125" i="6" s="1"/>
  <c r="C126" i="6"/>
  <c r="C316" i="43" l="1"/>
  <c r="D316" i="43" s="1"/>
  <c r="A317" i="43"/>
  <c r="B317" i="43" s="1"/>
  <c r="E126" i="6"/>
  <c r="C317" i="43" l="1"/>
  <c r="D317" i="43" s="1"/>
  <c r="A318" i="43"/>
  <c r="B318" i="43" s="1"/>
  <c r="H126" i="6"/>
  <c r="G126" i="6" s="1"/>
  <c r="B126" i="6"/>
  <c r="C318" i="43" l="1"/>
  <c r="D318" i="43" s="1"/>
  <c r="A319" i="43"/>
  <c r="B319" i="43" s="1"/>
  <c r="D126" i="6"/>
  <c r="F126" i="6" s="1"/>
  <c r="C127" i="6"/>
  <c r="C319" i="43" l="1"/>
  <c r="D319" i="43" s="1"/>
  <c r="A320" i="43"/>
  <c r="B320" i="43" s="1"/>
  <c r="E127" i="6"/>
  <c r="C320" i="43" l="1"/>
  <c r="D320" i="43" s="1"/>
  <c r="A321" i="43"/>
  <c r="B321" i="43" s="1"/>
  <c r="H127" i="6"/>
  <c r="G127" i="6" s="1"/>
  <c r="B127" i="6"/>
  <c r="C321" i="43" l="1"/>
  <c r="D321" i="43" s="1"/>
  <c r="A322" i="43"/>
  <c r="B322" i="43" s="1"/>
  <c r="D127" i="6"/>
  <c r="F127" i="6" s="1"/>
  <c r="C128" i="6"/>
  <c r="C322" i="43" l="1"/>
  <c r="D322" i="43" s="1"/>
  <c r="A323" i="43"/>
  <c r="B323" i="43" s="1"/>
  <c r="E128" i="6"/>
  <c r="C323" i="43" l="1"/>
  <c r="D323" i="43" s="1"/>
  <c r="A324" i="43"/>
  <c r="B324" i="43" s="1"/>
  <c r="H128" i="6"/>
  <c r="G128" i="6" s="1"/>
  <c r="B128" i="6"/>
  <c r="C324" i="43" l="1"/>
  <c r="D324" i="43" s="1"/>
  <c r="A325" i="43"/>
  <c r="B325" i="43" s="1"/>
  <c r="C129" i="6"/>
  <c r="D128" i="6"/>
  <c r="F128" i="6" s="1"/>
  <c r="A326" i="43" l="1"/>
  <c r="B326" i="43" s="1"/>
  <c r="C325" i="43"/>
  <c r="D325" i="43" s="1"/>
  <c r="E129" i="6"/>
  <c r="A327" i="43" l="1"/>
  <c r="B327" i="43" s="1"/>
  <c r="C326" i="43"/>
  <c r="D326" i="43" s="1"/>
  <c r="H129" i="6"/>
  <c r="G129" i="6" s="1"/>
  <c r="B129" i="6"/>
  <c r="A328" i="43" l="1"/>
  <c r="B328" i="43" s="1"/>
  <c r="C327" i="43"/>
  <c r="D327" i="43" s="1"/>
  <c r="D129" i="6"/>
  <c r="F129" i="6" s="1"/>
  <c r="C130" i="6"/>
  <c r="A329" i="43" l="1"/>
  <c r="B329" i="43" s="1"/>
  <c r="C328" i="43"/>
  <c r="D328" i="43" s="1"/>
  <c r="E130" i="6"/>
  <c r="A330" i="43" l="1"/>
  <c r="B330" i="43" s="1"/>
  <c r="C329" i="43"/>
  <c r="D329" i="43" s="1"/>
  <c r="H130" i="6"/>
  <c r="G130" i="6" s="1"/>
  <c r="B130" i="6"/>
  <c r="A331" i="43" l="1"/>
  <c r="B331" i="43" s="1"/>
  <c r="C330" i="43"/>
  <c r="D330" i="43" s="1"/>
  <c r="D130" i="6"/>
  <c r="F130" i="6" s="1"/>
  <c r="C131" i="6"/>
  <c r="E131" i="6" s="1"/>
  <c r="H131" i="6" s="1"/>
  <c r="G131" i="6" s="1"/>
  <c r="A332" i="43" l="1"/>
  <c r="B332" i="43" s="1"/>
  <c r="C331" i="43"/>
  <c r="D331" i="43" s="1"/>
  <c r="B131" i="6"/>
  <c r="A333" i="43" l="1"/>
  <c r="B333" i="43" s="1"/>
  <c r="C332" i="43"/>
  <c r="D332" i="43" s="1"/>
  <c r="D131" i="6"/>
  <c r="F131" i="6" s="1"/>
  <c r="C132" i="6"/>
  <c r="E132" i="6" s="1"/>
  <c r="H132" i="6" s="1"/>
  <c r="G132" i="6" s="1"/>
  <c r="A334" i="43" l="1"/>
  <c r="B334" i="43" s="1"/>
  <c r="C333" i="43"/>
  <c r="D333" i="43" s="1"/>
  <c r="B132" i="6"/>
  <c r="A335" i="43" l="1"/>
  <c r="B335" i="43" s="1"/>
  <c r="C334" i="43"/>
  <c r="D334" i="43" s="1"/>
  <c r="D132" i="6"/>
  <c r="F132" i="6" s="1"/>
  <c r="C133" i="6"/>
  <c r="E133" i="6" s="1"/>
  <c r="H133" i="6" s="1"/>
  <c r="G133" i="6" s="1"/>
  <c r="A336" i="43" l="1"/>
  <c r="B336" i="43" s="1"/>
  <c r="C335" i="43"/>
  <c r="D335" i="43" s="1"/>
  <c r="B133" i="6"/>
  <c r="A337" i="43" l="1"/>
  <c r="B337" i="43" s="1"/>
  <c r="C336" i="43"/>
  <c r="D336" i="43" s="1"/>
  <c r="D133" i="6"/>
  <c r="F133" i="6" s="1"/>
  <c r="C134" i="6"/>
  <c r="E134" i="6" s="1"/>
  <c r="H134" i="6" s="1"/>
  <c r="G134" i="6" s="1"/>
  <c r="A338" i="43" l="1"/>
  <c r="B338" i="43" s="1"/>
  <c r="C337" i="43"/>
  <c r="D337" i="43" s="1"/>
  <c r="B134" i="6"/>
  <c r="A339" i="43" l="1"/>
  <c r="B339" i="43" s="1"/>
  <c r="C338" i="43"/>
  <c r="D338" i="43" s="1"/>
  <c r="D134" i="6"/>
  <c r="F134" i="6" s="1"/>
  <c r="C135" i="6"/>
  <c r="E135" i="6" s="1"/>
  <c r="H135" i="6" s="1"/>
  <c r="G135" i="6" s="1"/>
  <c r="A340" i="43" l="1"/>
  <c r="B340" i="43" s="1"/>
  <c r="C339" i="43"/>
  <c r="D339" i="43" s="1"/>
  <c r="B135" i="6"/>
  <c r="A341" i="43" l="1"/>
  <c r="B341" i="43" s="1"/>
  <c r="C340" i="43"/>
  <c r="D340" i="43" s="1"/>
  <c r="D135" i="6"/>
  <c r="F135" i="6" s="1"/>
  <c r="C136" i="6"/>
  <c r="E136" i="6" s="1"/>
  <c r="H136" i="6" s="1"/>
  <c r="G136" i="6" s="1"/>
  <c r="A342" i="43" l="1"/>
  <c r="B342" i="43" s="1"/>
  <c r="C341" i="43"/>
  <c r="D341" i="43" s="1"/>
  <c r="B136" i="6"/>
  <c r="A343" i="43" l="1"/>
  <c r="B343" i="43" s="1"/>
  <c r="C342" i="43"/>
  <c r="D342" i="43" s="1"/>
  <c r="C137" i="6"/>
  <c r="E137" i="6" s="1"/>
  <c r="H137" i="6" s="1"/>
  <c r="G137" i="6" s="1"/>
  <c r="D136" i="6"/>
  <c r="F136" i="6" s="1"/>
  <c r="A344" i="43" l="1"/>
  <c r="B344" i="43" s="1"/>
  <c r="C343" i="43"/>
  <c r="D343" i="43" s="1"/>
  <c r="B137" i="6"/>
  <c r="A345" i="43" l="1"/>
  <c r="B345" i="43" s="1"/>
  <c r="C344" i="43"/>
  <c r="D344" i="43" s="1"/>
  <c r="C138" i="6"/>
  <c r="E138" i="6" s="1"/>
  <c r="H138" i="6" s="1"/>
  <c r="G138" i="6" s="1"/>
  <c r="D137" i="6"/>
  <c r="F137" i="6" s="1"/>
  <c r="A346" i="43" l="1"/>
  <c r="B346" i="43" s="1"/>
  <c r="C345" i="43"/>
  <c r="D345" i="43" s="1"/>
  <c r="B138" i="6"/>
  <c r="A347" i="43" l="1"/>
  <c r="B347" i="43" s="1"/>
  <c r="C346" i="43"/>
  <c r="D346" i="43" s="1"/>
  <c r="D138" i="6"/>
  <c r="F138" i="6" s="1"/>
  <c r="C139" i="6"/>
  <c r="E139" i="6" s="1"/>
  <c r="H139" i="6" s="1"/>
  <c r="G139" i="6" s="1"/>
  <c r="A348" i="43" l="1"/>
  <c r="B348" i="43" s="1"/>
  <c r="C347" i="43"/>
  <c r="D347" i="43" s="1"/>
  <c r="B139" i="6"/>
  <c r="A349" i="43" l="1"/>
  <c r="B349" i="43" s="1"/>
  <c r="C348" i="43"/>
  <c r="D348" i="43" s="1"/>
  <c r="D139" i="6"/>
  <c r="F139" i="6" s="1"/>
  <c r="C140" i="6"/>
  <c r="E140" i="6" s="1"/>
  <c r="H140" i="6" s="1"/>
  <c r="G140" i="6" s="1"/>
  <c r="A350" i="43" l="1"/>
  <c r="B350" i="43" s="1"/>
  <c r="C349" i="43"/>
  <c r="D349" i="43" s="1"/>
  <c r="B140" i="6"/>
  <c r="A351" i="43" l="1"/>
  <c r="B351" i="43" s="1"/>
  <c r="C350" i="43"/>
  <c r="D350" i="43" s="1"/>
  <c r="C141" i="6"/>
  <c r="E141" i="6" s="1"/>
  <c r="H141" i="6" s="1"/>
  <c r="G141" i="6" s="1"/>
  <c r="D140" i="6"/>
  <c r="F140" i="6" s="1"/>
  <c r="A352" i="43" l="1"/>
  <c r="B352" i="43" s="1"/>
  <c r="C351" i="43"/>
  <c r="D351" i="43" s="1"/>
  <c r="B141" i="6"/>
  <c r="A353" i="43" l="1"/>
  <c r="B353" i="43" s="1"/>
  <c r="C352" i="43"/>
  <c r="D352" i="43" s="1"/>
  <c r="C142" i="6"/>
  <c r="E142" i="6" s="1"/>
  <c r="H142" i="6" s="1"/>
  <c r="G142" i="6" s="1"/>
  <c r="D141" i="6"/>
  <c r="F141" i="6" s="1"/>
  <c r="A354" i="43" l="1"/>
  <c r="B354" i="43" s="1"/>
  <c r="C353" i="43"/>
  <c r="D353" i="43" s="1"/>
  <c r="B142" i="6"/>
  <c r="A355" i="43" l="1"/>
  <c r="B355" i="43" s="1"/>
  <c r="C354" i="43"/>
  <c r="D354" i="43" s="1"/>
  <c r="C143" i="6"/>
  <c r="E143" i="6" s="1"/>
  <c r="H143" i="6" s="1"/>
  <c r="G143" i="6" s="1"/>
  <c r="D142" i="6"/>
  <c r="F142" i="6" s="1"/>
  <c r="A356" i="43" l="1"/>
  <c r="B356" i="43" s="1"/>
  <c r="C355" i="43"/>
  <c r="D355" i="43" s="1"/>
  <c r="B143" i="6"/>
  <c r="A357" i="43" l="1"/>
  <c r="B357" i="43" s="1"/>
  <c r="C356" i="43"/>
  <c r="D356" i="43" s="1"/>
  <c r="D143" i="6"/>
  <c r="F143" i="6" s="1"/>
  <c r="C144" i="6"/>
  <c r="E144" i="6" s="1"/>
  <c r="H144" i="6" s="1"/>
  <c r="G144" i="6" s="1"/>
  <c r="A358" i="43" l="1"/>
  <c r="B358" i="43" s="1"/>
  <c r="C357" i="43"/>
  <c r="D357" i="43" s="1"/>
  <c r="B144" i="6"/>
  <c r="D144" i="6" s="1"/>
  <c r="F144" i="6" s="1"/>
  <c r="A359" i="43" l="1"/>
  <c r="B359" i="43" s="1"/>
  <c r="C358" i="43"/>
  <c r="D358" i="43" s="1"/>
  <c r="C145" i="6"/>
  <c r="E145" i="6" s="1"/>
  <c r="A360" i="43" l="1"/>
  <c r="B360" i="43" s="1"/>
  <c r="C359" i="43"/>
  <c r="D359" i="43" s="1"/>
  <c r="H145" i="6"/>
  <c r="G145" i="6" s="1"/>
  <c r="B145" i="6"/>
  <c r="A361" i="43" l="1"/>
  <c r="B361" i="43" s="1"/>
  <c r="C360" i="43"/>
  <c r="D360" i="43" s="1"/>
  <c r="D145" i="6"/>
  <c r="F145" i="6" s="1"/>
  <c r="C146" i="6"/>
  <c r="E146" i="6" s="1"/>
  <c r="A362" i="43" l="1"/>
  <c r="B362" i="43" s="1"/>
  <c r="C361" i="43"/>
  <c r="D361" i="43" s="1"/>
  <c r="H146" i="6"/>
  <c r="G146" i="6" s="1"/>
  <c r="B146" i="6"/>
  <c r="A363" i="43" l="1"/>
  <c r="B363" i="43" s="1"/>
  <c r="C362" i="43"/>
  <c r="D362" i="43" s="1"/>
  <c r="C147" i="6"/>
  <c r="E147" i="6" s="1"/>
  <c r="D146" i="6"/>
  <c r="F146" i="6" s="1"/>
  <c r="A364" i="43" l="1"/>
  <c r="B364" i="43" s="1"/>
  <c r="C363" i="43"/>
  <c r="D363" i="43" s="1"/>
  <c r="H147" i="6"/>
  <c r="G147" i="6" s="1"/>
  <c r="B147" i="6"/>
  <c r="A365" i="43" l="1"/>
  <c r="B365" i="43" s="1"/>
  <c r="C364" i="43"/>
  <c r="D364" i="43" s="1"/>
  <c r="C148" i="6"/>
  <c r="E148" i="6" s="1"/>
  <c r="D147" i="6"/>
  <c r="F147" i="6" s="1"/>
  <c r="A366" i="43" l="1"/>
  <c r="B366" i="43" s="1"/>
  <c r="C365" i="43"/>
  <c r="D365" i="43" s="1"/>
  <c r="H148" i="6"/>
  <c r="G148" i="6" s="1"/>
  <c r="B148" i="6"/>
  <c r="A367" i="43" l="1"/>
  <c r="C366" i="43"/>
  <c r="D366" i="43" s="1"/>
  <c r="D148" i="6"/>
  <c r="F148" i="6" s="1"/>
  <c r="C149" i="6"/>
  <c r="E149" i="6" s="1"/>
  <c r="C367" i="43" l="1"/>
  <c r="D367" i="43" s="1"/>
  <c r="B367" i="43"/>
  <c r="H149" i="6"/>
  <c r="G149" i="6" s="1"/>
  <c r="B149" i="6"/>
  <c r="E386" i="43" l="1"/>
  <c r="W46" i="43" s="1"/>
  <c r="E374" i="43"/>
  <c r="W34" i="43" s="1"/>
  <c r="E377" i="43"/>
  <c r="W37" i="43" s="1"/>
  <c r="E380" i="43"/>
  <c r="W40" i="43" s="1"/>
  <c r="E384" i="43"/>
  <c r="W44" i="43" s="1"/>
  <c r="E376" i="43"/>
  <c r="W36" i="43" s="1"/>
  <c r="E383" i="43"/>
  <c r="W43" i="43" s="1"/>
  <c r="E382" i="43"/>
  <c r="W42" i="43" s="1"/>
  <c r="E385" i="43"/>
  <c r="W45" i="43" s="1"/>
  <c r="E372" i="43"/>
  <c r="W32" i="43" s="1"/>
  <c r="E375" i="43"/>
  <c r="W35" i="43" s="1"/>
  <c r="E378" i="43"/>
  <c r="W38" i="43" s="1"/>
  <c r="E379" i="43"/>
  <c r="W39" i="43" s="1"/>
  <c r="E381" i="43"/>
  <c r="W41" i="43" s="1"/>
  <c r="E373" i="43"/>
  <c r="W33" i="43" s="1"/>
  <c r="F386" i="43"/>
  <c r="X46" i="43" s="1"/>
  <c r="F384" i="43"/>
  <c r="X44" i="43" s="1"/>
  <c r="F379" i="43"/>
  <c r="X39" i="43" s="1"/>
  <c r="G374" i="43"/>
  <c r="Y34" i="43" s="1"/>
  <c r="G378" i="43"/>
  <c r="Y38" i="43" s="1"/>
  <c r="G377" i="43"/>
  <c r="Y37" i="43" s="1"/>
  <c r="G385" i="43"/>
  <c r="Y45" i="43" s="1"/>
  <c r="G380" i="43"/>
  <c r="Y40" i="43" s="1"/>
  <c r="G375" i="43"/>
  <c r="Y35" i="43" s="1"/>
  <c r="G383" i="43"/>
  <c r="Y43" i="43" s="1"/>
  <c r="F383" i="43"/>
  <c r="X43" i="43" s="1"/>
  <c r="G382" i="43"/>
  <c r="Y42" i="43" s="1"/>
  <c r="F382" i="43"/>
  <c r="X42" i="43" s="1"/>
  <c r="F373" i="43"/>
  <c r="X33" i="43" s="1"/>
  <c r="F378" i="43"/>
  <c r="X38" i="43" s="1"/>
  <c r="F380" i="43"/>
  <c r="X40" i="43" s="1"/>
  <c r="F381" i="43"/>
  <c r="X41" i="43" s="1"/>
  <c r="F376" i="43"/>
  <c r="X36" i="43" s="1"/>
  <c r="F377" i="43"/>
  <c r="X37" i="43" s="1"/>
  <c r="F374" i="43"/>
  <c r="X34" i="43" s="1"/>
  <c r="F375" i="43"/>
  <c r="X35" i="43" s="1"/>
  <c r="F385" i="43"/>
  <c r="X45" i="43" s="1"/>
  <c r="F372" i="43"/>
  <c r="X32" i="43" s="1"/>
  <c r="G386" i="43"/>
  <c r="Y46" i="43" s="1"/>
  <c r="H377" i="43"/>
  <c r="Z37" i="43" s="1"/>
  <c r="G373" i="43"/>
  <c r="Y33" i="43" s="1"/>
  <c r="H373" i="43"/>
  <c r="Z33" i="43" s="1"/>
  <c r="G381" i="43"/>
  <c r="Y41" i="43" s="1"/>
  <c r="H375" i="43"/>
  <c r="Z35" i="43" s="1"/>
  <c r="G372" i="43"/>
  <c r="Y32" i="43" s="1"/>
  <c r="H374" i="43"/>
  <c r="Z34" i="43" s="1"/>
  <c r="G376" i="43"/>
  <c r="Y36" i="43" s="1"/>
  <c r="H383" i="43"/>
  <c r="Z43" i="43" s="1"/>
  <c r="H379" i="43"/>
  <c r="Z39" i="43" s="1"/>
  <c r="H385" i="43"/>
  <c r="Z45" i="43" s="1"/>
  <c r="H382" i="43"/>
  <c r="Z42" i="43" s="1"/>
  <c r="G384" i="43"/>
  <c r="Y44" i="43" s="1"/>
  <c r="H372" i="43"/>
  <c r="Z32" i="43" s="1"/>
  <c r="H380" i="43"/>
  <c r="Z40" i="43" s="1"/>
  <c r="H386" i="43"/>
  <c r="Z46" i="43" s="1"/>
  <c r="I383" i="43"/>
  <c r="AA43" i="43" s="1"/>
  <c r="I382" i="43"/>
  <c r="AA42" i="43" s="1"/>
  <c r="I379" i="43"/>
  <c r="AA39" i="43" s="1"/>
  <c r="I375" i="43"/>
  <c r="AA35" i="43" s="1"/>
  <c r="H376" i="43"/>
  <c r="Z36" i="43" s="1"/>
  <c r="H384" i="43"/>
  <c r="Z44" i="43" s="1"/>
  <c r="H378" i="43"/>
  <c r="Z38" i="43" s="1"/>
  <c r="G379" i="43"/>
  <c r="Y39" i="43" s="1"/>
  <c r="H381" i="43"/>
  <c r="Z41" i="43" s="1"/>
  <c r="I384" i="43"/>
  <c r="AA44" i="43" s="1"/>
  <c r="I386" i="43"/>
  <c r="AA46" i="43" s="1"/>
  <c r="I372" i="43"/>
  <c r="AA32" i="43" s="1"/>
  <c r="J383" i="43"/>
  <c r="AB43" i="43" s="1"/>
  <c r="I373" i="43"/>
  <c r="AA33" i="43" s="1"/>
  <c r="I381" i="43"/>
  <c r="AA41" i="43" s="1"/>
  <c r="J381" i="43"/>
  <c r="AB41" i="43" s="1"/>
  <c r="J378" i="43"/>
  <c r="AB38" i="43" s="1"/>
  <c r="J373" i="43"/>
  <c r="AB33" i="43" s="1"/>
  <c r="I380" i="43"/>
  <c r="AA40" i="43" s="1"/>
  <c r="I377" i="43"/>
  <c r="AA37" i="43" s="1"/>
  <c r="I376" i="43"/>
  <c r="AA36" i="43" s="1"/>
  <c r="I385" i="43"/>
  <c r="AA45" i="43" s="1"/>
  <c r="J376" i="43"/>
  <c r="AB36" i="43" s="1"/>
  <c r="J375" i="43"/>
  <c r="AB35" i="43" s="1"/>
  <c r="K384" i="43"/>
  <c r="AC44" i="43" s="1"/>
  <c r="J384" i="43"/>
  <c r="AB44" i="43" s="1"/>
  <c r="K381" i="43"/>
  <c r="AC41" i="43" s="1"/>
  <c r="I378" i="43"/>
  <c r="AA38" i="43" s="1"/>
  <c r="I374" i="43"/>
  <c r="AA34" i="43" s="1"/>
  <c r="J374" i="43"/>
  <c r="AB34" i="43" s="1"/>
  <c r="J372" i="43"/>
  <c r="AB32" i="43" s="1"/>
  <c r="J380" i="43"/>
  <c r="AB40" i="43" s="1"/>
  <c r="J385" i="43"/>
  <c r="AB45" i="43" s="1"/>
  <c r="K372" i="43"/>
  <c r="AC32" i="43" s="1"/>
  <c r="L373" i="43"/>
  <c r="AD33" i="43" s="1"/>
  <c r="K382" i="43"/>
  <c r="AC42" i="43" s="1"/>
  <c r="L381" i="43"/>
  <c r="AD41" i="43" s="1"/>
  <c r="K374" i="43"/>
  <c r="AC34" i="43" s="1"/>
  <c r="K380" i="43"/>
  <c r="AC40" i="43" s="1"/>
  <c r="J377" i="43"/>
  <c r="AB37" i="43" s="1"/>
  <c r="L372" i="43"/>
  <c r="AD32" i="43" s="1"/>
  <c r="K377" i="43"/>
  <c r="AC37" i="43" s="1"/>
  <c r="L374" i="43"/>
  <c r="AD34" i="43" s="1"/>
  <c r="K373" i="43"/>
  <c r="AC33" i="43" s="1"/>
  <c r="J386" i="43"/>
  <c r="AB46" i="43" s="1"/>
  <c r="L384" i="43"/>
  <c r="AD44" i="43" s="1"/>
  <c r="L386" i="43"/>
  <c r="AD46" i="43" s="1"/>
  <c r="K376" i="43"/>
  <c r="AC36" i="43" s="1"/>
  <c r="J379" i="43"/>
  <c r="AB39" i="43" s="1"/>
  <c r="L379" i="43"/>
  <c r="AD39" i="43" s="1"/>
  <c r="K375" i="43"/>
  <c r="AC35" i="43" s="1"/>
  <c r="K379" i="43"/>
  <c r="AC39" i="43" s="1"/>
  <c r="J382" i="43"/>
  <c r="AB42" i="43" s="1"/>
  <c r="K383" i="43"/>
  <c r="AC43" i="43" s="1"/>
  <c r="L377" i="43"/>
  <c r="AD37" i="43" s="1"/>
  <c r="K386" i="43"/>
  <c r="AC46" i="43" s="1"/>
  <c r="L385" i="43"/>
  <c r="AD45" i="43" s="1"/>
  <c r="M373" i="43"/>
  <c r="AE33" i="43" s="1"/>
  <c r="M381" i="43"/>
  <c r="AE41" i="43" s="1"/>
  <c r="N385" i="43"/>
  <c r="AF45" i="43" s="1"/>
  <c r="L376" i="43"/>
  <c r="AD36" i="43" s="1"/>
  <c r="M382" i="43"/>
  <c r="AE42" i="43" s="1"/>
  <c r="M383" i="43"/>
  <c r="AE43" i="43" s="1"/>
  <c r="L378" i="43"/>
  <c r="AD38" i="43" s="1"/>
  <c r="M374" i="43"/>
  <c r="AE34" i="43" s="1"/>
  <c r="L383" i="43"/>
  <c r="AD43" i="43" s="1"/>
  <c r="M386" i="43"/>
  <c r="AE46" i="43" s="1"/>
  <c r="L380" i="43"/>
  <c r="AD40" i="43" s="1"/>
  <c r="N372" i="43"/>
  <c r="AF32" i="43" s="1"/>
  <c r="M385" i="43"/>
  <c r="AE45" i="43" s="1"/>
  <c r="M378" i="43"/>
  <c r="AE38" i="43" s="1"/>
  <c r="L382" i="43"/>
  <c r="AD42" i="43" s="1"/>
  <c r="K385" i="43"/>
  <c r="AC45" i="43" s="1"/>
  <c r="M375" i="43"/>
  <c r="AE35" i="43" s="1"/>
  <c r="L375" i="43"/>
  <c r="AD35" i="43" s="1"/>
  <c r="K378" i="43"/>
  <c r="AC38" i="43" s="1"/>
  <c r="M377" i="43"/>
  <c r="AE37" i="43" s="1"/>
  <c r="N376" i="43"/>
  <c r="AF36" i="43" s="1"/>
  <c r="N383" i="43"/>
  <c r="AF43" i="43" s="1"/>
  <c r="N381" i="43"/>
  <c r="AF41" i="43" s="1"/>
  <c r="N384" i="43"/>
  <c r="AF44" i="43" s="1"/>
  <c r="O374" i="43"/>
  <c r="AG34" i="43" s="1"/>
  <c r="P385" i="43"/>
  <c r="AH45" i="43" s="1"/>
  <c r="N374" i="43"/>
  <c r="AF34" i="43" s="1"/>
  <c r="N386" i="43"/>
  <c r="AF46" i="43" s="1"/>
  <c r="O375" i="43"/>
  <c r="AG35" i="43" s="1"/>
  <c r="O372" i="43"/>
  <c r="AG32" i="43" s="1"/>
  <c r="M372" i="43"/>
  <c r="AE32" i="43" s="1"/>
  <c r="N373" i="43"/>
  <c r="AF33" i="43" s="1"/>
  <c r="N379" i="43"/>
  <c r="AF39" i="43" s="1"/>
  <c r="M380" i="43"/>
  <c r="AE40" i="43" s="1"/>
  <c r="M376" i="43"/>
  <c r="AE36" i="43" s="1"/>
  <c r="N380" i="43"/>
  <c r="AF40" i="43" s="1"/>
  <c r="P384" i="43"/>
  <c r="AH44" i="43" s="1"/>
  <c r="N375" i="43"/>
  <c r="AF35" i="43" s="1"/>
  <c r="M379" i="43"/>
  <c r="AE39" i="43" s="1"/>
  <c r="N377" i="43"/>
  <c r="AF37" i="43" s="1"/>
  <c r="P379" i="43"/>
  <c r="AH39" i="43" s="1"/>
  <c r="P382" i="43"/>
  <c r="AH42" i="43" s="1"/>
  <c r="N378" i="43"/>
  <c r="AF38" i="43" s="1"/>
  <c r="M384" i="43"/>
  <c r="AE44" i="43" s="1"/>
  <c r="N382" i="43"/>
  <c r="AF42" i="43" s="1"/>
  <c r="P373" i="43"/>
  <c r="AH33" i="43" s="1"/>
  <c r="P378" i="43"/>
  <c r="AH38" i="43" s="1"/>
  <c r="P381" i="43"/>
  <c r="AH41" i="43" s="1"/>
  <c r="P376" i="43"/>
  <c r="AH36" i="43" s="1"/>
  <c r="P377" i="43"/>
  <c r="AH37" i="43" s="1"/>
  <c r="P386" i="43"/>
  <c r="AH46" i="43" s="1"/>
  <c r="P372" i="43"/>
  <c r="AH32" i="43" s="1"/>
  <c r="P383" i="43"/>
  <c r="AH43" i="43" s="1"/>
  <c r="P374" i="43"/>
  <c r="AH34" i="43" s="1"/>
  <c r="P375" i="43"/>
  <c r="AH35" i="43" s="1"/>
  <c r="P380" i="43"/>
  <c r="AH40" i="43" s="1"/>
  <c r="O382" i="43"/>
  <c r="AG42" i="43" s="1"/>
  <c r="O381" i="43"/>
  <c r="AG41" i="43" s="1"/>
  <c r="O378" i="43"/>
  <c r="AG38" i="43" s="1"/>
  <c r="O379" i="43"/>
  <c r="AG39" i="43" s="1"/>
  <c r="O386" i="43"/>
  <c r="AG46" i="43" s="1"/>
  <c r="O373" i="43"/>
  <c r="AG33" i="43" s="1"/>
  <c r="O377" i="43"/>
  <c r="AG37" i="43" s="1"/>
  <c r="O384" i="43"/>
  <c r="AG44" i="43" s="1"/>
  <c r="O383" i="43"/>
  <c r="AG43" i="43" s="1"/>
  <c r="O376" i="43"/>
  <c r="AG36" i="43" s="1"/>
  <c r="O385" i="43"/>
  <c r="AG45" i="43" s="1"/>
  <c r="O380" i="43"/>
  <c r="AG40" i="43" s="1"/>
  <c r="D149" i="6"/>
  <c r="F149" i="6" s="1"/>
  <c r="C150" i="6"/>
  <c r="E150" i="6" s="1"/>
  <c r="H150" i="6" s="1"/>
  <c r="G150" i="6" s="1"/>
  <c r="B150" i="6" l="1"/>
  <c r="D150" i="6" l="1"/>
  <c r="F150" i="6" s="1"/>
  <c r="C151" i="6"/>
  <c r="E151" i="6" s="1"/>
  <c r="H151" i="6" l="1"/>
  <c r="G151" i="6" s="1"/>
  <c r="B151" i="6"/>
  <c r="C152" i="6" l="1"/>
  <c r="E152" i="6" s="1"/>
  <c r="H152" i="6" s="1"/>
  <c r="G152" i="6" s="1"/>
  <c r="D151" i="6"/>
  <c r="F151" i="6" s="1"/>
  <c r="B152" i="6" l="1"/>
  <c r="D152" i="6" s="1"/>
  <c r="F152" i="6" s="1"/>
  <c r="C153" i="6" l="1"/>
  <c r="E153" i="6" s="1"/>
  <c r="H153" i="6" s="1"/>
  <c r="G153" i="6" s="1"/>
  <c r="B153" i="6" l="1"/>
  <c r="D153" i="6" s="1"/>
  <c r="F153" i="6" s="1"/>
  <c r="C154" i="6" l="1"/>
  <c r="E154" i="6" s="1"/>
  <c r="H154" i="6" s="1"/>
  <c r="G154" i="6" s="1"/>
  <c r="B154" i="6" l="1"/>
  <c r="D154" i="6" l="1"/>
  <c r="F154" i="6" s="1"/>
  <c r="C155" i="6"/>
  <c r="E155" i="6" s="1"/>
  <c r="H155" i="6" l="1"/>
  <c r="G155" i="6" s="1"/>
  <c r="B155" i="6"/>
  <c r="C156" i="6" l="1"/>
  <c r="E156" i="6" s="1"/>
  <c r="D155" i="6"/>
  <c r="F155" i="6" s="1"/>
  <c r="H156" i="6" l="1"/>
  <c r="G156" i="6" s="1"/>
  <c r="B156" i="6"/>
  <c r="E220" i="19"/>
  <c r="E82" i="32"/>
  <c r="C157" i="6" l="1"/>
  <c r="E157" i="6" s="1"/>
  <c r="H157" i="6" s="1"/>
  <c r="G157" i="6" s="1"/>
  <c r="D156" i="6"/>
  <c r="F156" i="6" s="1"/>
  <c r="B157" i="6"/>
  <c r="C158" i="6" s="1"/>
  <c r="E158" i="6" s="1"/>
  <c r="H158" i="6" s="1"/>
  <c r="G158" i="6" s="1"/>
  <c r="E219" i="19"/>
  <c r="E81" i="32"/>
  <c r="E80" i="32"/>
  <c r="E218" i="19"/>
  <c r="F81" i="32"/>
  <c r="G219" i="19"/>
  <c r="I219" i="19"/>
  <c r="G81" i="32"/>
  <c r="F80" i="32"/>
  <c r="G218" i="19"/>
  <c r="I218" i="19"/>
  <c r="G80" i="32"/>
  <c r="D157" i="6" l="1"/>
  <c r="F157" i="6" s="1"/>
  <c r="B158" i="6"/>
  <c r="E360" i="19"/>
  <c r="D158" i="6" l="1"/>
  <c r="F158" i="6" s="1"/>
  <c r="C159" i="6"/>
  <c r="E159" i="6" s="1"/>
  <c r="H159" i="6" s="1"/>
  <c r="G159" i="6" s="1"/>
  <c r="F360" i="19"/>
  <c r="E359" i="19"/>
  <c r="B159" i="6" l="1"/>
  <c r="E282" i="19"/>
  <c r="F282" i="19"/>
  <c r="C160" i="6" l="1"/>
  <c r="E160" i="6" s="1"/>
  <c r="H160" i="6" s="1"/>
  <c r="G160" i="6" s="1"/>
  <c r="D159" i="6"/>
  <c r="F159" i="6" s="1"/>
  <c r="F359" i="19"/>
  <c r="B160" i="6" l="1"/>
  <c r="G360" i="19"/>
  <c r="D160" i="6" l="1"/>
  <c r="F160" i="6" s="1"/>
  <c r="C161" i="6"/>
  <c r="E161" i="6" s="1"/>
  <c r="H161" i="6" s="1"/>
  <c r="G161" i="6" s="1"/>
  <c r="G282" i="19"/>
  <c r="G359" i="19"/>
  <c r="B161" i="6" l="1"/>
  <c r="H360" i="19"/>
  <c r="C162" i="6" l="1"/>
  <c r="E162" i="6" s="1"/>
  <c r="H162" i="6" s="1"/>
  <c r="G162" i="6" s="1"/>
  <c r="D161" i="6"/>
  <c r="F161" i="6" s="1"/>
  <c r="H282" i="19"/>
  <c r="H359" i="19"/>
  <c r="B162" i="6" l="1"/>
  <c r="I360" i="19"/>
  <c r="C163" i="6" l="1"/>
  <c r="E163" i="6" s="1"/>
  <c r="H163" i="6" s="1"/>
  <c r="G163" i="6" s="1"/>
  <c r="D162" i="6"/>
  <c r="F162" i="6" s="1"/>
  <c r="J360" i="19"/>
  <c r="I282" i="19"/>
  <c r="I359" i="19"/>
  <c r="B163" i="6" l="1"/>
  <c r="J282" i="19"/>
  <c r="D163" i="6" l="1"/>
  <c r="F163" i="6" s="1"/>
  <c r="C164" i="6"/>
  <c r="E164" i="6" s="1"/>
  <c r="H164" i="6" s="1"/>
  <c r="G164" i="6" s="1"/>
  <c r="E391" i="19"/>
  <c r="J359" i="19"/>
  <c r="B164" i="6" l="1"/>
  <c r="E306" i="19"/>
  <c r="D164" i="6" l="1"/>
  <c r="F164" i="6" s="1"/>
  <c r="C165" i="6"/>
  <c r="E165" i="6" s="1"/>
  <c r="H165" i="6" s="1"/>
  <c r="G165" i="6" s="1"/>
  <c r="F391" i="19"/>
  <c r="E390" i="19"/>
  <c r="B165" i="6" l="1"/>
  <c r="F306" i="19"/>
  <c r="C166" i="6" l="1"/>
  <c r="E166" i="6" s="1"/>
  <c r="H166" i="6" s="1"/>
  <c r="G166" i="6" s="1"/>
  <c r="D165" i="6"/>
  <c r="F165" i="6" s="1"/>
  <c r="B166" i="6"/>
  <c r="G391" i="19"/>
  <c r="F390" i="19"/>
  <c r="C167" i="6" l="1"/>
  <c r="E167" i="6" s="1"/>
  <c r="H167" i="6" s="1"/>
  <c r="G167" i="6" s="1"/>
  <c r="D166" i="6"/>
  <c r="F166" i="6" s="1"/>
  <c r="G306" i="19"/>
  <c r="B167" i="6" l="1"/>
  <c r="H391" i="19"/>
  <c r="G390" i="19"/>
  <c r="C168" i="6" l="1"/>
  <c r="E168" i="6" s="1"/>
  <c r="H168" i="6" s="1"/>
  <c r="G168" i="6" s="1"/>
  <c r="D167" i="6"/>
  <c r="F167" i="6" s="1"/>
  <c r="H306" i="19"/>
  <c r="B168" i="6" l="1"/>
  <c r="I391" i="19"/>
  <c r="H390" i="19"/>
  <c r="C169" i="6" l="1"/>
  <c r="E169" i="6" s="1"/>
  <c r="H169" i="6" s="1"/>
  <c r="G169" i="6" s="1"/>
  <c r="D168" i="6"/>
  <c r="F168" i="6" s="1"/>
  <c r="I306" i="19"/>
  <c r="B169" i="6" l="1"/>
  <c r="J391" i="19"/>
  <c r="I390" i="19"/>
  <c r="D169" i="6" l="1"/>
  <c r="F169" i="6" s="1"/>
  <c r="C170" i="6"/>
  <c r="E170" i="6" s="1"/>
  <c r="H170" i="6" s="1"/>
  <c r="G170" i="6" s="1"/>
  <c r="B170" i="6" l="1"/>
  <c r="J306" i="19"/>
  <c r="R26" i="18"/>
  <c r="D86" i="32"/>
  <c r="C224" i="19"/>
  <c r="C171" i="6" l="1"/>
  <c r="E171" i="6" s="1"/>
  <c r="H171" i="6" s="1"/>
  <c r="G171" i="6" s="1"/>
  <c r="D170" i="6"/>
  <c r="F170" i="6" s="1"/>
  <c r="C329" i="19"/>
  <c r="D19" i="12"/>
  <c r="E56" i="32"/>
  <c r="S26" i="18"/>
  <c r="I256" i="19"/>
  <c r="J256" i="19" s="1"/>
  <c r="J390" i="19"/>
  <c r="C226" i="19"/>
  <c r="D88" i="32"/>
  <c r="D85" i="32"/>
  <c r="C223" i="19"/>
  <c r="F71" i="56" l="1"/>
  <c r="B171" i="6"/>
  <c r="D329" i="19"/>
  <c r="F56" i="32"/>
  <c r="C229" i="19"/>
  <c r="C225" i="19"/>
  <c r="D87" i="32"/>
  <c r="D91" i="32" s="1"/>
  <c r="D171" i="6" l="1"/>
  <c r="F171" i="6" s="1"/>
  <c r="C172" i="6"/>
  <c r="E172" i="6" s="1"/>
  <c r="H172" i="6" s="1"/>
  <c r="G172" i="6" s="1"/>
  <c r="B172" i="6" l="1"/>
  <c r="C173" i="6" l="1"/>
  <c r="E173" i="6" s="1"/>
  <c r="H173" i="6" s="1"/>
  <c r="G173" i="6" s="1"/>
  <c r="D172" i="6"/>
  <c r="F172" i="6" s="1"/>
  <c r="E329" i="19"/>
  <c r="G56" i="32"/>
  <c r="F19" i="12"/>
  <c r="H71" i="56" l="1"/>
  <c r="B173" i="6"/>
  <c r="F329" i="19"/>
  <c r="H56" i="32"/>
  <c r="E86" i="32"/>
  <c r="E224" i="19"/>
  <c r="E226" i="19"/>
  <c r="E88" i="32"/>
  <c r="D173" i="6" l="1"/>
  <c r="F173" i="6" s="1"/>
  <c r="C174" i="6"/>
  <c r="E174" i="6" s="1"/>
  <c r="H174" i="6" s="1"/>
  <c r="G174" i="6" s="1"/>
  <c r="E85" i="32"/>
  <c r="E223" i="19"/>
  <c r="B174" i="6" l="1"/>
  <c r="C175" i="6" s="1"/>
  <c r="E175" i="6" s="1"/>
  <c r="H175" i="6" s="1"/>
  <c r="G175" i="6" s="1"/>
  <c r="D174" i="6" l="1"/>
  <c r="F174" i="6" s="1"/>
  <c r="B175" i="6"/>
  <c r="C176" i="6" l="1"/>
  <c r="E176" i="6" s="1"/>
  <c r="H176" i="6" s="1"/>
  <c r="G176" i="6" s="1"/>
  <c r="D175" i="6"/>
  <c r="F175" i="6" s="1"/>
  <c r="I56" i="32"/>
  <c r="H19" i="12"/>
  <c r="G329" i="19"/>
  <c r="J71" i="56" l="1"/>
  <c r="B176" i="6"/>
  <c r="H329" i="19"/>
  <c r="J56" i="32"/>
  <c r="G226" i="19"/>
  <c r="F88" i="32"/>
  <c r="F86" i="32"/>
  <c r="G224" i="19"/>
  <c r="C177" i="6" l="1"/>
  <c r="E177" i="6" s="1"/>
  <c r="H177" i="6" s="1"/>
  <c r="G177" i="6" s="1"/>
  <c r="D176" i="6"/>
  <c r="F176" i="6" s="1"/>
  <c r="F85" i="32"/>
  <c r="G223" i="19"/>
  <c r="B177" i="6" l="1"/>
  <c r="D177" i="6" l="1"/>
  <c r="F177" i="6" s="1"/>
  <c r="C178" i="6"/>
  <c r="E178" i="6" s="1"/>
  <c r="H178" i="6" s="1"/>
  <c r="G178" i="6" s="1"/>
  <c r="I226" i="19"/>
  <c r="G88" i="32"/>
  <c r="G86" i="32"/>
  <c r="I224" i="19"/>
  <c r="B178" i="6" l="1"/>
  <c r="D178" i="6" s="1"/>
  <c r="F178" i="6" s="1"/>
  <c r="I223" i="19"/>
  <c r="G85" i="32"/>
  <c r="H85" i="32" l="1"/>
  <c r="C179" i="6"/>
  <c r="E179" i="6" s="1"/>
  <c r="H179" i="6" s="1"/>
  <c r="G179" i="6" s="1"/>
  <c r="B179" i="6"/>
  <c r="C180" i="6" l="1"/>
  <c r="E180" i="6" s="1"/>
  <c r="H180" i="6" s="1"/>
  <c r="G180" i="6" s="1"/>
  <c r="D179" i="6"/>
  <c r="F179" i="6" s="1"/>
  <c r="B180" i="6" l="1"/>
  <c r="D180" i="6" l="1"/>
  <c r="F180" i="6" s="1"/>
  <c r="C181" i="6"/>
  <c r="E181" i="6" s="1"/>
  <c r="H181" i="6" s="1"/>
  <c r="G181" i="6" s="1"/>
  <c r="J393" i="19"/>
  <c r="I393" i="19"/>
  <c r="B181" i="6" l="1"/>
  <c r="H59" i="13"/>
  <c r="C182" i="6" l="1"/>
  <c r="E182" i="6" s="1"/>
  <c r="H182" i="6" s="1"/>
  <c r="G182" i="6" s="1"/>
  <c r="D181" i="6"/>
  <c r="F181" i="6" s="1"/>
  <c r="B182" i="6" l="1"/>
  <c r="F362" i="19"/>
  <c r="D182" i="6" l="1"/>
  <c r="F182" i="6" s="1"/>
  <c r="C183" i="6"/>
  <c r="E183" i="6" s="1"/>
  <c r="H183" i="6" s="1"/>
  <c r="G183" i="6" s="1"/>
  <c r="E362" i="19"/>
  <c r="B183" i="6" l="1"/>
  <c r="C184" i="6" l="1"/>
  <c r="E184" i="6" s="1"/>
  <c r="H184" i="6" s="1"/>
  <c r="G184" i="6" s="1"/>
  <c r="D183" i="6"/>
  <c r="F183" i="6" s="1"/>
  <c r="B184" i="6" l="1"/>
  <c r="C185" i="6" l="1"/>
  <c r="E185" i="6" s="1"/>
  <c r="H185" i="6" s="1"/>
  <c r="G185" i="6" s="1"/>
  <c r="D184" i="6"/>
  <c r="F184" i="6" s="1"/>
  <c r="G362" i="19"/>
  <c r="B185" i="6" l="1"/>
  <c r="D185" i="6" l="1"/>
  <c r="F185" i="6" s="1"/>
  <c r="C186" i="6"/>
  <c r="E186" i="6" s="1"/>
  <c r="H186" i="6" s="1"/>
  <c r="G186" i="6" s="1"/>
  <c r="J59" i="13" l="1"/>
  <c r="B186" i="6"/>
  <c r="H362" i="19"/>
  <c r="K64" i="13" l="1"/>
  <c r="D186" i="6"/>
  <c r="F186" i="6" s="1"/>
  <c r="C187" i="6"/>
  <c r="E187" i="6" s="1"/>
  <c r="H187" i="6" s="1"/>
  <c r="G187" i="6" s="1"/>
  <c r="B187" i="6" l="1"/>
  <c r="D187" i="6" s="1"/>
  <c r="F187" i="6" s="1"/>
  <c r="I362" i="19"/>
  <c r="C188" i="6" l="1"/>
  <c r="E188" i="6" s="1"/>
  <c r="H188" i="6" s="1"/>
  <c r="G188" i="6" s="1"/>
  <c r="M64" i="13" l="1"/>
  <c r="B188" i="6"/>
  <c r="D188" i="6" s="1"/>
  <c r="F188" i="6" s="1"/>
  <c r="J362" i="19"/>
  <c r="C189" i="6" l="1"/>
  <c r="E189" i="6" s="1"/>
  <c r="H189" i="6" s="1"/>
  <c r="G189" i="6" s="1"/>
  <c r="B189" i="6"/>
  <c r="C190" i="6" s="1"/>
  <c r="E190" i="6" s="1"/>
  <c r="H190" i="6" s="1"/>
  <c r="G190" i="6" s="1"/>
  <c r="D189" i="6" l="1"/>
  <c r="F189" i="6" s="1"/>
  <c r="B190" i="6"/>
  <c r="N64" i="13" l="1"/>
  <c r="C191" i="6"/>
  <c r="D190" i="6"/>
  <c r="F190" i="6" s="1"/>
  <c r="E393" i="19"/>
  <c r="G191" i="6" l="1"/>
  <c r="E191" i="6"/>
  <c r="C192" i="6"/>
  <c r="H191" i="6" l="1"/>
  <c r="E192" i="6"/>
  <c r="G192" i="6" s="1"/>
  <c r="B191" i="6"/>
  <c r="D191" i="6" s="1"/>
  <c r="F191" i="6" s="1"/>
  <c r="F393" i="19" l="1"/>
  <c r="G393" i="19" l="1"/>
  <c r="Q64" i="13" l="1"/>
  <c r="R63" i="13"/>
  <c r="H393" i="19"/>
  <c r="W65" i="13" l="1"/>
  <c r="Y65" i="13" s="1"/>
  <c r="Z65" i="13" l="1"/>
  <c r="AA65" i="13" l="1"/>
  <c r="AC65" i="13" l="1"/>
  <c r="AD64" i="13"/>
  <c r="AI66" i="13" l="1"/>
  <c r="AK66" i="13"/>
  <c r="AL66" i="13" l="1"/>
  <c r="AM66" i="13" l="1"/>
  <c r="AO66" i="13" l="1"/>
  <c r="AP65" i="13"/>
  <c r="D21" i="2" l="1"/>
  <c r="F133" i="19"/>
  <c r="F149" i="19" s="1"/>
  <c r="F4" i="2" l="1"/>
  <c r="AQ4" i="2"/>
  <c r="G21" i="2"/>
  <c r="AF11" i="14"/>
  <c r="AF14" i="14"/>
  <c r="AA48" i="14"/>
  <c r="U14" i="14"/>
  <c r="AB8" i="14"/>
  <c r="U15" i="14"/>
  <c r="Q16" i="14"/>
  <c r="V47" i="14"/>
  <c r="AI13" i="14"/>
  <c r="V12" i="14"/>
  <c r="AD6" i="14"/>
  <c r="AD7" i="14"/>
  <c r="K10" i="14"/>
  <c r="O49" i="14"/>
  <c r="P9" i="14"/>
  <c r="F7" i="14"/>
  <c r="R15" i="14"/>
  <c r="F13" i="14"/>
  <c r="K9" i="14"/>
  <c r="N16" i="14"/>
  <c r="I12" i="14"/>
  <c r="G47" i="14"/>
  <c r="J8" i="14"/>
  <c r="L11" i="14"/>
  <c r="G49" i="14"/>
  <c r="R12" i="14"/>
  <c r="Q15" i="14"/>
  <c r="F8" i="14"/>
  <c r="P7" i="14"/>
  <c r="J14" i="14"/>
  <c r="E21" i="2"/>
  <c r="G149" i="19" s="1"/>
  <c r="G133" i="19"/>
  <c r="G7" i="14"/>
  <c r="D13" i="14"/>
  <c r="O12" i="14"/>
  <c r="J12" i="14"/>
  <c r="R47" i="14"/>
  <c r="F9" i="14"/>
  <c r="M16" i="14"/>
  <c r="K11" i="14"/>
  <c r="J10" i="14"/>
  <c r="R8" i="14"/>
  <c r="O16" i="14"/>
  <c r="F10" i="14"/>
  <c r="S15" i="14"/>
  <c r="S8" i="14"/>
  <c r="R9" i="14"/>
  <c r="I14" i="14"/>
  <c r="G6" i="14"/>
  <c r="L49" i="14"/>
  <c r="Q49" i="14"/>
  <c r="J49" i="14"/>
  <c r="H11" i="14"/>
  <c r="M47" i="14"/>
  <c r="D11" i="14"/>
  <c r="D14" i="14"/>
  <c r="Q13" i="14"/>
  <c r="H7" i="14"/>
  <c r="P11" i="14"/>
  <c r="G12" i="14"/>
  <c r="Q12" i="14"/>
  <c r="B9" i="10" l="1"/>
  <c r="C47" i="14"/>
  <c r="C15" i="14"/>
  <c r="C49" i="14"/>
  <c r="B19" i="10"/>
  <c r="C41" i="15"/>
  <c r="C43" i="15" s="1"/>
  <c r="B21" i="10"/>
  <c r="B23" i="10"/>
  <c r="B18" i="10"/>
  <c r="B25" i="10"/>
  <c r="B8" i="10"/>
  <c r="C16" i="14"/>
  <c r="AD5" i="14"/>
  <c r="Z5" i="14"/>
  <c r="AL15" i="14"/>
  <c r="AL9" i="14"/>
  <c r="V7" i="14"/>
  <c r="T11" i="14"/>
  <c r="AE8" i="14"/>
  <c r="H8" i="14"/>
  <c r="AE48" i="14"/>
  <c r="I49" i="14"/>
  <c r="AB15" i="14"/>
  <c r="X13" i="14"/>
  <c r="Z49" i="14"/>
  <c r="Q6" i="14"/>
  <c r="G13" i="14"/>
  <c r="AD8" i="14"/>
  <c r="U49" i="14"/>
  <c r="H10" i="14"/>
  <c r="AA14" i="14"/>
  <c r="AK48" i="14"/>
  <c r="X16" i="14"/>
  <c r="Q47" i="14"/>
  <c r="AE9" i="14"/>
  <c r="V8" i="14"/>
  <c r="AL48" i="14"/>
  <c r="AA47" i="14"/>
  <c r="T12" i="14"/>
  <c r="AB10" i="14"/>
  <c r="T14" i="14"/>
  <c r="M12" i="14"/>
  <c r="I10" i="14"/>
  <c r="Q8" i="14"/>
  <c r="S9" i="14"/>
  <c r="J6" i="14"/>
  <c r="E8" i="14"/>
  <c r="M14" i="14"/>
  <c r="D10" i="14"/>
  <c r="K7" i="14"/>
  <c r="H12" i="14"/>
  <c r="J16" i="14"/>
  <c r="F14" i="14"/>
  <c r="P6" i="14"/>
  <c r="L15" i="14"/>
  <c r="N13" i="14"/>
  <c r="G16" i="14"/>
  <c r="K8" i="14"/>
  <c r="H49" i="14"/>
  <c r="I7" i="14"/>
  <c r="K47" i="14"/>
  <c r="I6" i="14"/>
  <c r="D47" i="14"/>
  <c r="D15" i="14"/>
  <c r="H6" i="14"/>
  <c r="M10" i="14"/>
  <c r="H15" i="14"/>
  <c r="O10" i="14"/>
  <c r="N10" i="14"/>
  <c r="D6" i="14"/>
  <c r="K16" i="14"/>
  <c r="R6" i="14"/>
  <c r="O47" i="14"/>
  <c r="G14" i="14"/>
  <c r="F49" i="14"/>
  <c r="E11" i="14"/>
  <c r="H13" i="14"/>
  <c r="E6" i="14"/>
  <c r="I13" i="14"/>
  <c r="E7" i="14"/>
  <c r="E15" i="14"/>
  <c r="M49" i="14"/>
  <c r="M6" i="14"/>
  <c r="L6" i="14"/>
  <c r="F15" i="14"/>
  <c r="E9" i="14"/>
  <c r="P8" i="14"/>
  <c r="R7" i="14"/>
  <c r="P16" i="14"/>
  <c r="N6" i="14"/>
  <c r="I9" i="14"/>
  <c r="D9" i="14"/>
  <c r="D8" i="14"/>
  <c r="O6" i="14"/>
  <c r="S49" i="14"/>
  <c r="R49" i="14"/>
  <c r="F12" i="14"/>
  <c r="J47" i="14"/>
  <c r="F6" i="14"/>
  <c r="M11" i="14"/>
  <c r="N14" i="14"/>
  <c r="R11" i="14"/>
  <c r="J13" i="14"/>
  <c r="G15" i="14"/>
  <c r="N12" i="14"/>
  <c r="Q7" i="14"/>
  <c r="H47" i="14"/>
  <c r="R10" i="14"/>
  <c r="S12" i="14"/>
  <c r="G9" i="14"/>
  <c r="E13" i="14"/>
  <c r="O8" i="14"/>
  <c r="P10" i="14"/>
  <c r="I8" i="14"/>
  <c r="M13" i="14"/>
  <c r="G11" i="14"/>
  <c r="S13" i="14"/>
  <c r="G10" i="14"/>
  <c r="L8" i="14"/>
  <c r="I11" i="14"/>
  <c r="F47" i="14"/>
  <c r="N47" i="14"/>
  <c r="S11" i="14"/>
  <c r="D49" i="14"/>
  <c r="R14" i="14"/>
  <c r="N8" i="14"/>
  <c r="D12" i="14"/>
  <c r="O13" i="14"/>
  <c r="E12" i="14"/>
  <c r="S16" i="14"/>
  <c r="S14" i="14"/>
  <c r="H9" i="14"/>
  <c r="E49" i="14"/>
  <c r="L10" i="14"/>
  <c r="S7" i="14"/>
  <c r="M9" i="14"/>
  <c r="M8" i="14"/>
  <c r="E16" i="14"/>
  <c r="H16" i="14"/>
  <c r="K15" i="14"/>
  <c r="F16" i="14"/>
  <c r="G8" i="14"/>
  <c r="S47" i="14"/>
  <c r="X49" i="14"/>
  <c r="Y11" i="14"/>
  <c r="J11" i="14"/>
  <c r="N7" i="14"/>
  <c r="U7" i="14"/>
  <c r="AA9" i="14"/>
  <c r="AC12" i="14"/>
  <c r="Q10" i="14"/>
  <c r="P14" i="14"/>
  <c r="X47" i="14"/>
  <c r="AD10" i="14"/>
  <c r="AD47" i="14"/>
  <c r="AJ15" i="14"/>
  <c r="W11" i="14"/>
  <c r="AF10" i="14"/>
  <c r="AL8" i="14"/>
  <c r="AC16" i="14"/>
  <c r="AA12" i="14"/>
  <c r="Z13" i="14"/>
  <c r="E5" i="14"/>
  <c r="S5" i="14"/>
  <c r="C13" i="14"/>
  <c r="U47" i="14"/>
  <c r="AA15" i="14"/>
  <c r="AJ9" i="14"/>
  <c r="AD49" i="14"/>
  <c r="V15" i="14"/>
  <c r="AA49" i="14"/>
  <c r="AF47" i="14"/>
  <c r="U13" i="14"/>
  <c r="AK16" i="14"/>
  <c r="AC9" i="14"/>
  <c r="AG11" i="14"/>
  <c r="AJ48" i="14"/>
  <c r="W48" i="14"/>
  <c r="M15" i="14"/>
  <c r="AD13" i="14"/>
  <c r="Y14" i="14"/>
  <c r="AB9" i="14"/>
  <c r="AL7" i="14"/>
  <c r="T7" i="14"/>
  <c r="Z12" i="14"/>
  <c r="AE12" i="14"/>
  <c r="X6" i="14"/>
  <c r="V48" i="14"/>
  <c r="W6" i="14"/>
  <c r="Z8" i="14"/>
  <c r="AB13" i="14"/>
  <c r="T9" i="14"/>
  <c r="P49" i="14"/>
  <c r="L9" i="14"/>
  <c r="N11" i="14"/>
  <c r="W9" i="14"/>
  <c r="Y13" i="14"/>
  <c r="W8" i="14"/>
  <c r="N48" i="14"/>
  <c r="AC14" i="14"/>
  <c r="U6" i="14"/>
  <c r="V14" i="14"/>
  <c r="Z7" i="14"/>
  <c r="AD11" i="14"/>
  <c r="L48" i="14"/>
  <c r="O48" i="14"/>
  <c r="T10" i="14"/>
  <c r="W16" i="14"/>
  <c r="AC8" i="14"/>
  <c r="O11" i="14"/>
  <c r="Z15" i="14"/>
  <c r="X11" i="14"/>
  <c r="AE15" i="14"/>
  <c r="X14" i="14"/>
  <c r="F48" i="14"/>
  <c r="AI48" i="14"/>
  <c r="W15" i="14"/>
  <c r="AA16" i="14"/>
  <c r="AA11" i="14"/>
  <c r="L7" i="14"/>
  <c r="AC13" i="14"/>
  <c r="U12" i="14"/>
  <c r="W47" i="14"/>
  <c r="V11" i="14"/>
  <c r="H14" i="14"/>
  <c r="P13" i="14"/>
  <c r="M7" i="14"/>
  <c r="J7" i="14"/>
  <c r="L13" i="14"/>
  <c r="F11" i="14"/>
  <c r="I47" i="14"/>
  <c r="I16" i="14"/>
  <c r="L14" i="14"/>
  <c r="O9" i="14"/>
  <c r="E14" i="14"/>
  <c r="E10" i="14"/>
  <c r="L47" i="14"/>
  <c r="R13" i="14"/>
  <c r="K14" i="14"/>
  <c r="E47" i="14"/>
  <c r="D7" i="14"/>
  <c r="N49" i="14"/>
  <c r="O15" i="14"/>
  <c r="Q9" i="14"/>
  <c r="Q14" i="14"/>
  <c r="K12" i="14"/>
  <c r="D16" i="14"/>
  <c r="B7" i="10"/>
  <c r="C5" i="14"/>
  <c r="C19" i="14" s="1"/>
  <c r="AK5" i="14"/>
  <c r="P5" i="14"/>
  <c r="W5" i="14"/>
  <c r="C11" i="14"/>
  <c r="C25" i="14" s="1"/>
  <c r="V16" i="14"/>
  <c r="AE16" i="14"/>
  <c r="AL49" i="14"/>
  <c r="AI12" i="14"/>
  <c r="AH10" i="14"/>
  <c r="AI9" i="14"/>
  <c r="AK7" i="14"/>
  <c r="AF6" i="14"/>
  <c r="T48" i="14"/>
  <c r="G48" i="14"/>
  <c r="V6" i="14"/>
  <c r="W7" i="14"/>
  <c r="P48" i="14"/>
  <c r="AH15" i="14"/>
  <c r="AC6" i="14"/>
  <c r="AJ16" i="14"/>
  <c r="AJ10" i="14"/>
  <c r="X15" i="14"/>
  <c r="Y8" i="14"/>
  <c r="X48" i="14"/>
  <c r="Y49" i="14"/>
  <c r="T13" i="14"/>
  <c r="AL10" i="14"/>
  <c r="AJ12" i="14"/>
  <c r="Z48" i="14"/>
  <c r="AB48" i="14"/>
  <c r="Z14" i="14"/>
  <c r="U11" i="14"/>
  <c r="T49" i="14"/>
  <c r="AC47" i="14"/>
  <c r="AG48" i="14"/>
  <c r="W49" i="14"/>
  <c r="AA10" i="14"/>
  <c r="L12" i="14"/>
  <c r="Y16" i="14"/>
  <c r="AK47" i="14"/>
  <c r="AH48" i="14"/>
  <c r="U8" i="14"/>
  <c r="AB12" i="14"/>
  <c r="U9" i="14"/>
  <c r="K49" i="14"/>
  <c r="N15" i="14"/>
  <c r="Y9" i="14"/>
  <c r="AD16" i="14"/>
  <c r="Y10" i="14"/>
  <c r="Y48" i="14"/>
  <c r="S48" i="14"/>
  <c r="AC15" i="14"/>
  <c r="AE11" i="14"/>
  <c r="Y7" i="14"/>
  <c r="I15" i="14"/>
  <c r="P47" i="14"/>
  <c r="V10" i="14"/>
  <c r="U10" i="14"/>
  <c r="AD9" i="14"/>
  <c r="O7" i="14"/>
  <c r="J9" i="14"/>
  <c r="J15" i="14"/>
  <c r="L16" i="14"/>
  <c r="N9" i="14"/>
  <c r="Q11" i="14"/>
  <c r="AE6" i="14"/>
  <c r="P12" i="14"/>
  <c r="K13" i="14"/>
  <c r="AE47" i="14"/>
  <c r="X9" i="14"/>
  <c r="X10" i="14"/>
  <c r="S10" i="14"/>
  <c r="K48" i="14"/>
  <c r="X7" i="14"/>
  <c r="U16" i="14"/>
  <c r="T8" i="14"/>
  <c r="K6" i="14"/>
  <c r="R16" i="14"/>
  <c r="AE49" i="14"/>
  <c r="AA7" i="14"/>
  <c r="AB7" i="14"/>
  <c r="AJ13" i="14"/>
  <c r="X5" i="14"/>
  <c r="B17" i="10"/>
  <c r="B16" i="10"/>
  <c r="F5" i="14"/>
  <c r="AA5" i="14"/>
  <c r="AI5" i="14"/>
  <c r="G5" i="14"/>
  <c r="M5" i="14"/>
  <c r="U5" i="14"/>
  <c r="K5" i="14"/>
  <c r="L5" i="14"/>
  <c r="C9" i="14"/>
  <c r="C7" i="14"/>
  <c r="AJ7" i="14"/>
  <c r="AI49" i="14"/>
  <c r="Y47" i="14"/>
  <c r="AH8" i="14"/>
  <c r="AG8" i="14"/>
  <c r="AH14" i="14"/>
  <c r="AG6" i="14"/>
  <c r="AD15" i="14"/>
  <c r="AH7" i="14"/>
  <c r="AA13" i="14"/>
  <c r="W14" i="14"/>
  <c r="Y6" i="14"/>
  <c r="H48" i="14"/>
  <c r="AG9" i="14"/>
  <c r="AI7" i="14"/>
  <c r="AL14" i="14"/>
  <c r="AJ14" i="14"/>
  <c r="J48" i="14"/>
  <c r="AL47" i="14"/>
  <c r="V49" i="14"/>
  <c r="AC49" i="14"/>
  <c r="T47" i="14"/>
  <c r="AC10" i="14"/>
  <c r="AI16" i="14"/>
  <c r="AH9" i="14"/>
  <c r="AF12" i="14"/>
  <c r="AL6" i="14"/>
  <c r="AK12" i="14"/>
  <c r="AK6" i="14"/>
  <c r="AF49" i="14"/>
  <c r="AI6" i="14"/>
  <c r="AF16" i="14"/>
  <c r="W12" i="14"/>
  <c r="AK8" i="14"/>
  <c r="Z11" i="14"/>
  <c r="AJ49" i="14"/>
  <c r="AL12" i="14"/>
  <c r="AF7" i="14"/>
  <c r="AK11" i="14"/>
  <c r="AB49" i="14"/>
  <c r="AB16" i="14"/>
  <c r="AH47" i="14"/>
  <c r="AH16" i="14"/>
  <c r="AD12" i="14"/>
  <c r="AH49" i="14"/>
  <c r="AD14" i="14"/>
  <c r="AJ8" i="14"/>
  <c r="D48" i="14"/>
  <c r="AC48" i="14"/>
  <c r="AG49" i="14"/>
  <c r="AI8" i="14"/>
  <c r="R48" i="14"/>
  <c r="AA8" i="14"/>
  <c r="AB47" i="14"/>
  <c r="AB11" i="14"/>
  <c r="Y15" i="14"/>
  <c r="O14" i="14"/>
  <c r="Y12" i="14"/>
  <c r="Z16" i="14"/>
  <c r="T6" i="14"/>
  <c r="S6" i="14"/>
  <c r="AD48" i="14"/>
  <c r="X8" i="14"/>
  <c r="AB14" i="14"/>
  <c r="AE10" i="14"/>
  <c r="AE14" i="14"/>
  <c r="P15" i="14"/>
  <c r="V13" i="14"/>
  <c r="T16" i="14"/>
  <c r="AA6" i="14"/>
  <c r="W13" i="14"/>
  <c r="AF8" i="14"/>
  <c r="I48" i="14"/>
  <c r="V5" i="14"/>
  <c r="AG5" i="14"/>
  <c r="C8" i="14"/>
  <c r="F21" i="2"/>
  <c r="F40" i="2" s="1"/>
  <c r="B29" i="10" s="1"/>
  <c r="D90" i="56" s="1"/>
  <c r="B12" i="10"/>
  <c r="B13" i="10"/>
  <c r="B26" i="10"/>
  <c r="B15" i="10"/>
  <c r="B11" i="10"/>
  <c r="B6" i="10"/>
  <c r="B14" i="10"/>
  <c r="B5" i="10"/>
  <c r="C48" i="14"/>
  <c r="AH5" i="14"/>
  <c r="AJ5" i="14"/>
  <c r="O5" i="14"/>
  <c r="R5" i="14"/>
  <c r="AC5" i="14"/>
  <c r="H5" i="14"/>
  <c r="H133" i="19"/>
  <c r="AF5" i="14"/>
  <c r="AL5" i="14"/>
  <c r="Q5" i="14"/>
  <c r="AE5" i="14"/>
  <c r="D5" i="14"/>
  <c r="N5" i="14"/>
  <c r="T5" i="14"/>
  <c r="J5" i="14"/>
  <c r="Y5" i="14"/>
  <c r="AB5" i="14"/>
  <c r="I5" i="14"/>
  <c r="C12" i="14"/>
  <c r="C14" i="14"/>
  <c r="C6" i="14"/>
  <c r="AG16" i="14"/>
  <c r="V9" i="14"/>
  <c r="AG12" i="14"/>
  <c r="AI14" i="14"/>
  <c r="AG10" i="14"/>
  <c r="AF15" i="14"/>
  <c r="AI15" i="14"/>
  <c r="X12" i="14"/>
  <c r="AH6" i="14"/>
  <c r="AF48" i="14"/>
  <c r="AG7" i="14"/>
  <c r="Z6" i="14"/>
  <c r="AB6" i="14"/>
  <c r="Z47" i="14"/>
  <c r="AJ6" i="14"/>
  <c r="W10" i="14"/>
  <c r="AG47" i="14"/>
  <c r="AG15" i="14"/>
  <c r="AI11" i="14"/>
  <c r="AL16" i="14"/>
  <c r="AF9" i="14"/>
  <c r="AK10" i="14"/>
  <c r="Z9" i="14"/>
  <c r="AK49" i="14"/>
  <c r="E48" i="14"/>
  <c r="AG14" i="14"/>
  <c r="AF13" i="14"/>
  <c r="AC7" i="14"/>
  <c r="AC11" i="14"/>
  <c r="AJ47" i="14"/>
  <c r="AL13" i="14"/>
  <c r="AJ11" i="14"/>
  <c r="AL11" i="14"/>
  <c r="Q48" i="14"/>
  <c r="AI10" i="14"/>
  <c r="AH12" i="14"/>
  <c r="U48" i="14"/>
  <c r="AE7" i="14"/>
  <c r="AE13" i="14"/>
  <c r="AI47" i="14"/>
  <c r="AH11" i="14"/>
  <c r="T15" i="14"/>
  <c r="AK13" i="14"/>
  <c r="AK9" i="14"/>
  <c r="AK15" i="14"/>
  <c r="AH13" i="14"/>
  <c r="AK14" i="14"/>
  <c r="Z10" i="14"/>
  <c r="AG13" i="14"/>
  <c r="M48" i="14"/>
  <c r="E366" i="19"/>
  <c r="AQ20" i="2"/>
  <c r="AQ21" i="2" s="1"/>
  <c r="G18" i="13"/>
  <c r="C10" i="14"/>
  <c r="E27" i="14" l="1"/>
  <c r="E368" i="19"/>
  <c r="D88" i="56"/>
  <c r="C210" i="19"/>
  <c r="H25" i="10"/>
  <c r="D25" i="10"/>
  <c r="F25" i="10"/>
  <c r="H149" i="19"/>
  <c r="B4" i="10"/>
  <c r="F29" i="14"/>
  <c r="D11" i="10"/>
  <c r="G17" i="14"/>
  <c r="M17" i="14"/>
  <c r="F28" i="14"/>
  <c r="R20" i="14"/>
  <c r="L26" i="14"/>
  <c r="R17" i="14"/>
  <c r="I25" i="14"/>
  <c r="J27" i="14"/>
  <c r="D21" i="10"/>
  <c r="D20" i="10" s="1"/>
  <c r="I27" i="14"/>
  <c r="F27" i="14"/>
  <c r="M27" i="14"/>
  <c r="J25" i="14"/>
  <c r="D13" i="10"/>
  <c r="K25" i="14"/>
  <c r="F25" i="14"/>
  <c r="D25" i="14"/>
  <c r="P27" i="14"/>
  <c r="C39" i="14"/>
  <c r="G25" i="14"/>
  <c r="H25" i="14"/>
  <c r="M25" i="14"/>
  <c r="P25" i="14"/>
  <c r="D16" i="10"/>
  <c r="C27" i="14"/>
  <c r="C41" i="14" s="1"/>
  <c r="D27" i="14"/>
  <c r="T27" i="14"/>
  <c r="H27" i="14"/>
  <c r="N27" i="14"/>
  <c r="U27" i="14"/>
  <c r="G27" i="14"/>
  <c r="H17" i="14"/>
  <c r="V27" i="14"/>
  <c r="D7" i="10"/>
  <c r="L17" i="14"/>
  <c r="U17" i="14"/>
  <c r="K27" i="14"/>
  <c r="D14" i="10"/>
  <c r="E17" i="14"/>
  <c r="N25" i="14"/>
  <c r="S25" i="14"/>
  <c r="Q25" i="14"/>
  <c r="W25" i="14"/>
  <c r="V25" i="14"/>
  <c r="O25" i="14"/>
  <c r="L25" i="14"/>
  <c r="E25" i="14"/>
  <c r="X25" i="14"/>
  <c r="Q27" i="14"/>
  <c r="S27" i="14"/>
  <c r="R27" i="14"/>
  <c r="L27" i="14"/>
  <c r="O27" i="14"/>
  <c r="J30" i="14"/>
  <c r="J17" i="14"/>
  <c r="N17" i="14"/>
  <c r="P17" i="14"/>
  <c r="S17" i="14"/>
  <c r="AA25" i="14"/>
  <c r="L23" i="14"/>
  <c r="K17" i="14"/>
  <c r="F17" i="14"/>
  <c r="U25" i="14"/>
  <c r="T25" i="14"/>
  <c r="R25" i="14"/>
  <c r="Y25" i="14"/>
  <c r="I17" i="14"/>
  <c r="E19" i="14"/>
  <c r="Q17" i="14"/>
  <c r="B24" i="10"/>
  <c r="D89" i="56" s="1"/>
  <c r="C212" i="19"/>
  <c r="H150" i="19"/>
  <c r="B20" i="10"/>
  <c r="D86" i="56" s="1"/>
  <c r="H23" i="10"/>
  <c r="G88" i="56" s="1"/>
  <c r="D23" i="10"/>
  <c r="E88" i="56" s="1"/>
  <c r="F23" i="10"/>
  <c r="F88" i="56" s="1"/>
  <c r="AC21" i="14"/>
  <c r="D12" i="10"/>
  <c r="AG25" i="14"/>
  <c r="D75" i="32"/>
  <c r="J23" i="14"/>
  <c r="H23" i="14"/>
  <c r="F21" i="14"/>
  <c r="H22" i="14"/>
  <c r="AA27" i="14"/>
  <c r="N23" i="14"/>
  <c r="D23" i="14"/>
  <c r="U23" i="14"/>
  <c r="O23" i="14"/>
  <c r="R23" i="14"/>
  <c r="G23" i="14"/>
  <c r="K23" i="14"/>
  <c r="AC27" i="14"/>
  <c r="AD17" i="14"/>
  <c r="T21" i="14"/>
  <c r="J21" i="14"/>
  <c r="K22" i="14"/>
  <c r="I22" i="14"/>
  <c r="AK22" i="14"/>
  <c r="AB25" i="14"/>
  <c r="C23" i="14"/>
  <c r="C37" i="14" s="1"/>
  <c r="T23" i="14"/>
  <c r="Q23" i="14"/>
  <c r="P23" i="14"/>
  <c r="F23" i="14"/>
  <c r="E23" i="14"/>
  <c r="I23" i="14"/>
  <c r="M23" i="14"/>
  <c r="S23" i="14"/>
  <c r="Z25" i="14"/>
  <c r="F14" i="10" s="1"/>
  <c r="W17" i="14"/>
  <c r="Y23" i="14"/>
  <c r="O17" i="14"/>
  <c r="V30" i="14"/>
  <c r="I21" i="14"/>
  <c r="N21" i="14"/>
  <c r="M21" i="14"/>
  <c r="Z22" i="14"/>
  <c r="F11" i="10" s="1"/>
  <c r="AC22" i="14"/>
  <c r="F22" i="14"/>
  <c r="R22" i="14"/>
  <c r="U22" i="14"/>
  <c r="Z21" i="14"/>
  <c r="F7" i="10" s="1"/>
  <c r="Y21" i="14"/>
  <c r="X21" i="14"/>
  <c r="E21" i="14"/>
  <c r="K21" i="14"/>
  <c r="P21" i="14"/>
  <c r="D21" i="14"/>
  <c r="Z27" i="14"/>
  <c r="F16" i="10" s="1"/>
  <c r="AD27" i="14"/>
  <c r="AB27" i="14"/>
  <c r="Y27" i="14"/>
  <c r="AI22" i="14"/>
  <c r="AJ22" i="14"/>
  <c r="M22" i="14"/>
  <c r="Q22" i="14"/>
  <c r="AE22" i="14"/>
  <c r="Y22" i="14"/>
  <c r="P22" i="14"/>
  <c r="E22" i="14"/>
  <c r="D22" i="14"/>
  <c r="AA17" i="14"/>
  <c r="C21" i="14"/>
  <c r="C35" i="14" s="1"/>
  <c r="R21" i="14"/>
  <c r="Q21" i="14"/>
  <c r="U21" i="14"/>
  <c r="V21" i="14"/>
  <c r="S21" i="14"/>
  <c r="O21" i="14"/>
  <c r="G21" i="14"/>
  <c r="AB21" i="14"/>
  <c r="H21" i="14"/>
  <c r="AA21" i="14"/>
  <c r="L21" i="14"/>
  <c r="W21" i="14"/>
  <c r="W27" i="14"/>
  <c r="X27" i="14"/>
  <c r="D73" i="32"/>
  <c r="AL22" i="14"/>
  <c r="H11" i="10" s="1"/>
  <c r="C22" i="14"/>
  <c r="C36" i="14" s="1"/>
  <c r="AA22" i="14"/>
  <c r="L22" i="14"/>
  <c r="AG22" i="14"/>
  <c r="AH22" i="14"/>
  <c r="N22" i="14"/>
  <c r="X22" i="14"/>
  <c r="T22" i="14"/>
  <c r="J22" i="14"/>
  <c r="V22" i="14"/>
  <c r="W22" i="14"/>
  <c r="AF22" i="14"/>
  <c r="O22" i="14"/>
  <c r="AB22" i="14"/>
  <c r="G22" i="14"/>
  <c r="AD22" i="14"/>
  <c r="S22" i="14"/>
  <c r="Y17" i="14"/>
  <c r="AE25" i="14"/>
  <c r="K29" i="14"/>
  <c r="D26" i="14"/>
  <c r="U28" i="14"/>
  <c r="AH17" i="14"/>
  <c r="D19" i="14"/>
  <c r="D17" i="14"/>
  <c r="G26" i="14"/>
  <c r="W26" i="14"/>
  <c r="G217" i="19"/>
  <c r="F19" i="14"/>
  <c r="I29" i="14"/>
  <c r="J26" i="14"/>
  <c r="R26" i="14"/>
  <c r="D18" i="10"/>
  <c r="AJ29" i="14"/>
  <c r="AI17" i="14"/>
  <c r="M20" i="14"/>
  <c r="L30" i="14"/>
  <c r="S28" i="14"/>
  <c r="O19" i="14"/>
  <c r="AG29" i="14"/>
  <c r="L20" i="14"/>
  <c r="W20" i="14"/>
  <c r="H30" i="14"/>
  <c r="N30" i="14"/>
  <c r="L28" i="14"/>
  <c r="Q28" i="14"/>
  <c r="V19" i="14"/>
  <c r="K19" i="14"/>
  <c r="V17" i="14"/>
  <c r="X23" i="14"/>
  <c r="AB23" i="14"/>
  <c r="D20" i="14"/>
  <c r="O20" i="14"/>
  <c r="X20" i="14"/>
  <c r="AC30" i="14"/>
  <c r="Z30" i="14"/>
  <c r="F8" i="10" s="1"/>
  <c r="G30" i="14"/>
  <c r="R30" i="14"/>
  <c r="W28" i="14"/>
  <c r="R28" i="14"/>
  <c r="O28" i="14"/>
  <c r="Y28" i="14"/>
  <c r="AD23" i="14"/>
  <c r="AG20" i="14"/>
  <c r="B10" i="10"/>
  <c r="D85" i="56" s="1"/>
  <c r="H19" i="14"/>
  <c r="I19" i="14"/>
  <c r="AJ19" i="14"/>
  <c r="AH25" i="14"/>
  <c r="C29" i="14"/>
  <c r="C43" i="14" s="1"/>
  <c r="L29" i="14"/>
  <c r="R29" i="14"/>
  <c r="Q29" i="14"/>
  <c r="AL20" i="14"/>
  <c r="H6" i="10" s="1"/>
  <c r="P26" i="14"/>
  <c r="S26" i="14"/>
  <c r="I26" i="14"/>
  <c r="K26" i="14"/>
  <c r="X26" i="14"/>
  <c r="D15" i="10"/>
  <c r="AD29" i="14"/>
  <c r="G79" i="32"/>
  <c r="AG26" i="14"/>
  <c r="AI19" i="14"/>
  <c r="Z19" i="14"/>
  <c r="F5" i="10" s="1"/>
  <c r="AH19" i="14"/>
  <c r="M19" i="14"/>
  <c r="AC19" i="14"/>
  <c r="AF19" i="14"/>
  <c r="AK19" i="14"/>
  <c r="J19" i="14"/>
  <c r="N19" i="14"/>
  <c r="X17" i="14"/>
  <c r="AI23" i="14"/>
  <c r="C20" i="14"/>
  <c r="C34" i="14" s="1"/>
  <c r="G20" i="14"/>
  <c r="T20" i="14"/>
  <c r="AC20" i="14"/>
  <c r="S20" i="14"/>
  <c r="J20" i="14"/>
  <c r="I20" i="14"/>
  <c r="AI30" i="14"/>
  <c r="T30" i="14"/>
  <c r="Y30" i="14"/>
  <c r="AB30" i="14"/>
  <c r="S30" i="14"/>
  <c r="AF30" i="14"/>
  <c r="X30" i="14"/>
  <c r="AJ26" i="14"/>
  <c r="Z28" i="14"/>
  <c r="F17" i="10" s="1"/>
  <c r="N28" i="14"/>
  <c r="X28" i="14"/>
  <c r="AG28" i="14"/>
  <c r="AJ28" i="14"/>
  <c r="AH28" i="14"/>
  <c r="I28" i="14"/>
  <c r="AB28" i="14"/>
  <c r="AL21" i="14"/>
  <c r="H7" i="10" s="1"/>
  <c r="Y29" i="14"/>
  <c r="AL27" i="14"/>
  <c r="H16" i="10" s="1"/>
  <c r="H21" i="10"/>
  <c r="H20" i="10" s="1"/>
  <c r="AC17" i="14"/>
  <c r="AF21" i="14"/>
  <c r="AI21" i="14"/>
  <c r="AK27" i="14"/>
  <c r="AI27" i="14"/>
  <c r="F21" i="10"/>
  <c r="F20" i="10" s="1"/>
  <c r="AF17" i="14"/>
  <c r="T17" i="14"/>
  <c r="X29" i="14"/>
  <c r="T29" i="14"/>
  <c r="W29" i="14"/>
  <c r="Z29" i="14"/>
  <c r="F18" i="10" s="1"/>
  <c r="AI29" i="14"/>
  <c r="U29" i="14"/>
  <c r="AH29" i="14"/>
  <c r="AK21" i="14"/>
  <c r="AD21" i="14"/>
  <c r="AE21" i="14"/>
  <c r="AC26" i="14"/>
  <c r="AA26" i="14"/>
  <c r="AH26" i="14"/>
  <c r="Z26" i="14"/>
  <c r="F15" i="10" s="1"/>
  <c r="AD26" i="14"/>
  <c r="AF26" i="14"/>
  <c r="AC23" i="14"/>
  <c r="AF23" i="14"/>
  <c r="Z23" i="14"/>
  <c r="F12" i="10" s="1"/>
  <c r="AJ23" i="14"/>
  <c r="W23" i="14"/>
  <c r="V23" i="14"/>
  <c r="D6" i="10"/>
  <c r="N20" i="14"/>
  <c r="AF20" i="14"/>
  <c r="Q20" i="14"/>
  <c r="F20" i="14"/>
  <c r="AI20" i="14"/>
  <c r="Y20" i="14"/>
  <c r="E20" i="14"/>
  <c r="K20" i="14"/>
  <c r="P20" i="14"/>
  <c r="V20" i="14"/>
  <c r="H20" i="14"/>
  <c r="AH20" i="14"/>
  <c r="U20" i="14"/>
  <c r="AA20" i="14"/>
  <c r="Z20" i="14"/>
  <c r="F6" i="10" s="1"/>
  <c r="D17" i="10"/>
  <c r="P28" i="14"/>
  <c r="AI28" i="14"/>
  <c r="K28" i="14"/>
  <c r="V28" i="14"/>
  <c r="E28" i="14"/>
  <c r="AE28" i="14"/>
  <c r="AA28" i="14"/>
  <c r="G28" i="14"/>
  <c r="AD28" i="14"/>
  <c r="AF28" i="14"/>
  <c r="M28" i="14"/>
  <c r="T28" i="14"/>
  <c r="D28" i="14"/>
  <c r="J28" i="14"/>
  <c r="AC28" i="14"/>
  <c r="H28" i="14"/>
  <c r="C28" i="14"/>
  <c r="C42" i="14" s="1"/>
  <c r="D42" i="14" s="1"/>
  <c r="D8" i="10"/>
  <c r="P30" i="14"/>
  <c r="K30" i="14"/>
  <c r="Q30" i="14"/>
  <c r="E30" i="14"/>
  <c r="O30" i="14"/>
  <c r="I30" i="14"/>
  <c r="U30" i="14"/>
  <c r="AD30" i="14"/>
  <c r="AG30" i="14"/>
  <c r="F30" i="14"/>
  <c r="D30" i="14"/>
  <c r="AA30" i="14"/>
  <c r="M30" i="14"/>
  <c r="W30" i="14"/>
  <c r="AE30" i="14"/>
  <c r="C30" i="14"/>
  <c r="C44" i="14" s="1"/>
  <c r="AG17" i="14"/>
  <c r="AK28" i="14"/>
  <c r="AK29" i="14"/>
  <c r="AL17" i="14"/>
  <c r="AH23" i="14"/>
  <c r="AB17" i="14"/>
  <c r="AH30" i="14"/>
  <c r="C206" i="19"/>
  <c r="AL28" i="14"/>
  <c r="H17" i="10" s="1"/>
  <c r="AK17" i="14"/>
  <c r="AJ27" i="14"/>
  <c r="AJ25" i="14"/>
  <c r="AG21" i="14"/>
  <c r="D5" i="10"/>
  <c r="AJ17" i="14"/>
  <c r="AL19" i="14"/>
  <c r="H5" i="10" s="1"/>
  <c r="P19" i="14"/>
  <c r="G19" i="14"/>
  <c r="AA19" i="14"/>
  <c r="S19" i="14"/>
  <c r="AB19" i="14"/>
  <c r="AG19" i="14"/>
  <c r="T19" i="14"/>
  <c r="X19" i="14"/>
  <c r="Q19" i="14"/>
  <c r="L19" i="14"/>
  <c r="R19" i="14"/>
  <c r="Y19" i="14"/>
  <c r="AE19" i="14"/>
  <c r="U19" i="14"/>
  <c r="W19" i="14"/>
  <c r="AD19" i="14"/>
  <c r="Z17" i="14"/>
  <c r="AK23" i="14"/>
  <c r="AG23" i="14"/>
  <c r="AA23" i="14"/>
  <c r="AL23" i="14"/>
  <c r="H12" i="10" s="1"/>
  <c r="AE23" i="14"/>
  <c r="AD25" i="14"/>
  <c r="AK25" i="14"/>
  <c r="AC25" i="14"/>
  <c r="AL25" i="14"/>
  <c r="H14" i="10" s="1"/>
  <c r="AF25" i="14"/>
  <c r="AI25" i="14"/>
  <c r="AF29" i="14"/>
  <c r="O29" i="14"/>
  <c r="J29" i="14"/>
  <c r="N29" i="14"/>
  <c r="AE29" i="14"/>
  <c r="AB29" i="14"/>
  <c r="S29" i="14"/>
  <c r="V29" i="14"/>
  <c r="AA29" i="14"/>
  <c r="AL29" i="14"/>
  <c r="H18" i="10" s="1"/>
  <c r="E29" i="14"/>
  <c r="D29" i="14"/>
  <c r="G29" i="14"/>
  <c r="M29" i="14"/>
  <c r="AC29" i="14"/>
  <c r="P29" i="14"/>
  <c r="H29" i="14"/>
  <c r="AJ20" i="14"/>
  <c r="AB20" i="14"/>
  <c r="AE20" i="14"/>
  <c r="AD20" i="14"/>
  <c r="AK20" i="14"/>
  <c r="AE17" i="14"/>
  <c r="AK30" i="14"/>
  <c r="AJ30" i="14"/>
  <c r="AL30" i="14"/>
  <c r="H8" i="10" s="1"/>
  <c r="C26" i="14"/>
  <c r="C40" i="14" s="1"/>
  <c r="T26" i="14"/>
  <c r="E26" i="14"/>
  <c r="AI26" i="14"/>
  <c r="F26" i="14"/>
  <c r="O26" i="14"/>
  <c r="M26" i="14"/>
  <c r="U26" i="14"/>
  <c r="Y26" i="14"/>
  <c r="AL26" i="14"/>
  <c r="H15" i="10" s="1"/>
  <c r="AK26" i="14"/>
  <c r="H26" i="14"/>
  <c r="AE26" i="14"/>
  <c r="N26" i="14"/>
  <c r="Q26" i="14"/>
  <c r="V26" i="14"/>
  <c r="AB26" i="14"/>
  <c r="AH21" i="14"/>
  <c r="AJ21" i="14"/>
  <c r="AH27" i="14"/>
  <c r="AG27" i="14"/>
  <c r="AE27" i="14"/>
  <c r="AF27" i="14"/>
  <c r="AD24" i="13"/>
  <c r="G19" i="13"/>
  <c r="R24" i="13"/>
  <c r="AP24" i="13"/>
  <c r="E217" i="19"/>
  <c r="E79" i="32"/>
  <c r="L24" i="14"/>
  <c r="W24" i="14"/>
  <c r="AK24" i="14"/>
  <c r="J24" i="14"/>
  <c r="U24" i="14"/>
  <c r="AG24" i="14"/>
  <c r="AA24" i="14"/>
  <c r="AH24" i="14"/>
  <c r="AE24" i="14"/>
  <c r="K24" i="14"/>
  <c r="D24" i="14"/>
  <c r="S24" i="14"/>
  <c r="G24" i="14"/>
  <c r="X24" i="14"/>
  <c r="N24" i="14"/>
  <c r="Y24" i="14"/>
  <c r="P24" i="14"/>
  <c r="I24" i="14"/>
  <c r="E24" i="14"/>
  <c r="O24" i="14"/>
  <c r="Q24" i="14"/>
  <c r="AF24" i="14"/>
  <c r="AB24" i="14"/>
  <c r="M24" i="14"/>
  <c r="AC24" i="14"/>
  <c r="AJ24" i="14"/>
  <c r="F24" i="14"/>
  <c r="V24" i="14"/>
  <c r="AD24" i="14"/>
  <c r="AI24" i="14"/>
  <c r="H24" i="14"/>
  <c r="T24" i="14"/>
  <c r="R24" i="14"/>
  <c r="Z24" i="14"/>
  <c r="F13" i="10" s="1"/>
  <c r="AL24" i="14"/>
  <c r="H13" i="10" s="1"/>
  <c r="C24" i="14"/>
  <c r="C38" i="14" s="1"/>
  <c r="C33" i="14"/>
  <c r="C17" i="14"/>
  <c r="E42" i="14" l="1"/>
  <c r="F42" i="14" s="1"/>
  <c r="C46" i="15"/>
  <c r="C47" i="15" s="1"/>
  <c r="F86" i="56"/>
  <c r="G86" i="56"/>
  <c r="E86" i="56"/>
  <c r="D84" i="56"/>
  <c r="H151" i="19"/>
  <c r="F73" i="32"/>
  <c r="I210" i="19"/>
  <c r="C211" i="19"/>
  <c r="D70" i="32"/>
  <c r="E210" i="19"/>
  <c r="C208" i="19"/>
  <c r="D39" i="14"/>
  <c r="E39" i="14" s="1"/>
  <c r="F39" i="14" s="1"/>
  <c r="G39" i="14" s="1"/>
  <c r="H20" i="13"/>
  <c r="H21" i="13" s="1"/>
  <c r="D38" i="15" s="1"/>
  <c r="D41" i="14"/>
  <c r="E41" i="14" s="1"/>
  <c r="D34" i="14"/>
  <c r="E34" i="14" s="1"/>
  <c r="F34" i="14" s="1"/>
  <c r="G34" i="14" s="1"/>
  <c r="D36" i="14"/>
  <c r="E36" i="14" s="1"/>
  <c r="D35" i="14"/>
  <c r="E35" i="14" s="1"/>
  <c r="D74" i="32"/>
  <c r="B22" i="10"/>
  <c r="D87" i="56" s="1"/>
  <c r="D71" i="32"/>
  <c r="E208" i="19"/>
  <c r="E71" i="32"/>
  <c r="D37" i="14"/>
  <c r="E37" i="14" s="1"/>
  <c r="F37" i="14" s="1"/>
  <c r="G37" i="14" s="1"/>
  <c r="D40" i="14"/>
  <c r="E40" i="14" s="1"/>
  <c r="F79" i="32"/>
  <c r="E73" i="32"/>
  <c r="R31" i="14"/>
  <c r="D43" i="14"/>
  <c r="E43" i="14" s="1"/>
  <c r="F43" i="14" s="1"/>
  <c r="G43" i="14" s="1"/>
  <c r="I31" i="14"/>
  <c r="I217" i="19"/>
  <c r="B3" i="10"/>
  <c r="C207" i="19"/>
  <c r="Q31" i="14"/>
  <c r="E31" i="14"/>
  <c r="D69" i="32"/>
  <c r="AD31" i="14"/>
  <c r="F31" i="14"/>
  <c r="AC31" i="14"/>
  <c r="G210" i="19"/>
  <c r="H31" i="14"/>
  <c r="AB31" i="14"/>
  <c r="P31" i="14"/>
  <c r="N31" i="14"/>
  <c r="G31" i="14"/>
  <c r="D31" i="14"/>
  <c r="AE31" i="14"/>
  <c r="AA31" i="14"/>
  <c r="U31" i="14"/>
  <c r="AK31" i="14"/>
  <c r="L31" i="14"/>
  <c r="G73" i="32"/>
  <c r="D44" i="14"/>
  <c r="E44" i="14" s="1"/>
  <c r="AF31" i="14"/>
  <c r="K31" i="14"/>
  <c r="J31" i="14"/>
  <c r="W31" i="14"/>
  <c r="S31" i="14"/>
  <c r="T31" i="14"/>
  <c r="AI31" i="14"/>
  <c r="V31" i="14"/>
  <c r="AJ31" i="14"/>
  <c r="M31" i="14"/>
  <c r="O31" i="14"/>
  <c r="Y31" i="14"/>
  <c r="X31" i="14"/>
  <c r="AH31" i="14"/>
  <c r="AG31" i="14"/>
  <c r="C31" i="14"/>
  <c r="D33" i="14"/>
  <c r="C45" i="14"/>
  <c r="D35" i="8" s="1"/>
  <c r="C30" i="11" s="1"/>
  <c r="D38" i="14"/>
  <c r="Z31" i="14"/>
  <c r="AL31" i="14"/>
  <c r="G208" i="19"/>
  <c r="G20" i="13"/>
  <c r="E371" i="19" l="1"/>
  <c r="D83" i="56"/>
  <c r="D91" i="56" s="1"/>
  <c r="D72" i="32"/>
  <c r="F364" i="19"/>
  <c r="I20" i="13"/>
  <c r="I21" i="13" s="1"/>
  <c r="F41" i="14"/>
  <c r="G41" i="14" s="1"/>
  <c r="B30" i="10"/>
  <c r="B52" i="10" s="1"/>
  <c r="C209" i="19"/>
  <c r="F71" i="32"/>
  <c r="D68" i="32"/>
  <c r="C205" i="19"/>
  <c r="E38" i="14"/>
  <c r="F38" i="14" s="1"/>
  <c r="E372" i="19"/>
  <c r="D45" i="15"/>
  <c r="G71" i="32"/>
  <c r="I208" i="19"/>
  <c r="H39" i="14"/>
  <c r="H43" i="14"/>
  <c r="I43" i="14" s="1"/>
  <c r="F44" i="14"/>
  <c r="H37" i="14"/>
  <c r="I37" i="14" s="1"/>
  <c r="H34" i="14"/>
  <c r="I34" i="14" s="1"/>
  <c r="F40" i="14"/>
  <c r="F36" i="14"/>
  <c r="E33" i="14"/>
  <c r="G42" i="14"/>
  <c r="H42" i="14" s="1"/>
  <c r="F35" i="14"/>
  <c r="E276" i="19"/>
  <c r="C32" i="11"/>
  <c r="D45" i="14"/>
  <c r="E35" i="8" s="1"/>
  <c r="D30" i="11" s="1"/>
  <c r="D76" i="32" l="1"/>
  <c r="C22" i="10"/>
  <c r="D209" i="19" s="1"/>
  <c r="E38" i="15"/>
  <c r="J20" i="13"/>
  <c r="J21" i="13" s="1"/>
  <c r="F38" i="15" s="1"/>
  <c r="H364" i="19" s="1"/>
  <c r="H41" i="14"/>
  <c r="I41" i="14" s="1"/>
  <c r="J41" i="14" s="1"/>
  <c r="C40" i="10"/>
  <c r="C213" i="19"/>
  <c r="C3" i="10"/>
  <c r="D205" i="19" s="1"/>
  <c r="C42" i="10"/>
  <c r="C30" i="10"/>
  <c r="D213" i="19" s="1"/>
  <c r="C33" i="10"/>
  <c r="D216" i="19" s="1"/>
  <c r="C51" i="10"/>
  <c r="D229" i="19" s="1"/>
  <c r="G38" i="14"/>
  <c r="H38" i="14" s="1"/>
  <c r="I38" i="14" s="1"/>
  <c r="J37" i="14"/>
  <c r="K37" i="14" s="1"/>
  <c r="L37" i="14" s="1"/>
  <c r="E278" i="19"/>
  <c r="C34" i="11"/>
  <c r="I42" i="14"/>
  <c r="J42" i="14" s="1"/>
  <c r="I39" i="14"/>
  <c r="J39" i="14" s="1"/>
  <c r="D32" i="11"/>
  <c r="F276" i="19"/>
  <c r="E45" i="14"/>
  <c r="F35" i="8" s="1"/>
  <c r="E30" i="11" s="1"/>
  <c r="F33" i="14"/>
  <c r="G36" i="14"/>
  <c r="G35" i="14"/>
  <c r="J34" i="14"/>
  <c r="K34" i="14" s="1"/>
  <c r="G44" i="14"/>
  <c r="J43" i="14"/>
  <c r="G40" i="14"/>
  <c r="F370" i="19"/>
  <c r="D223" i="19" l="1"/>
  <c r="K41" i="14"/>
  <c r="L41" i="14" s="1"/>
  <c r="M41" i="14" s="1"/>
  <c r="K20" i="13"/>
  <c r="K21" i="13" s="1"/>
  <c r="G364" i="19"/>
  <c r="K42" i="14"/>
  <c r="L42" i="14" s="1"/>
  <c r="M42" i="14" s="1"/>
  <c r="N42" i="14" s="1"/>
  <c r="O42" i="14" s="1"/>
  <c r="H44" i="14"/>
  <c r="I44" i="14" s="1"/>
  <c r="J44" i="14" s="1"/>
  <c r="M37" i="14"/>
  <c r="L34" i="14"/>
  <c r="M34" i="14" s="1"/>
  <c r="H40" i="14"/>
  <c r="E280" i="19"/>
  <c r="C39" i="11"/>
  <c r="G41" i="13" s="1"/>
  <c r="G42" i="13" s="1"/>
  <c r="K43" i="14"/>
  <c r="J38" i="14"/>
  <c r="K38" i="14" s="1"/>
  <c r="L38" i="14" s="1"/>
  <c r="H35" i="14"/>
  <c r="H36" i="14"/>
  <c r="I36" i="14" s="1"/>
  <c r="F45" i="14"/>
  <c r="G35" i="8" s="1"/>
  <c r="F30" i="11" s="1"/>
  <c r="G33" i="14"/>
  <c r="E32" i="11"/>
  <c r="G276" i="19"/>
  <c r="F278" i="19"/>
  <c r="D34" i="11"/>
  <c r="K39" i="14"/>
  <c r="H43" i="13" l="1"/>
  <c r="H44" i="13" s="1"/>
  <c r="L20" i="13"/>
  <c r="L21" i="13" s="1"/>
  <c r="G38" i="15"/>
  <c r="N41" i="14"/>
  <c r="O41" i="14" s="1"/>
  <c r="P41" i="14" s="1"/>
  <c r="Q41" i="14" s="1"/>
  <c r="L39" i="14"/>
  <c r="M39" i="14" s="1"/>
  <c r="F280" i="19"/>
  <c r="D39" i="11"/>
  <c r="H41" i="13" s="1"/>
  <c r="H42" i="13" s="1"/>
  <c r="I43" i="13" s="1"/>
  <c r="I44" i="13" s="1"/>
  <c r="G45" i="14"/>
  <c r="H35" i="8" s="1"/>
  <c r="G30" i="11" s="1"/>
  <c r="J36" i="14"/>
  <c r="K36" i="14" s="1"/>
  <c r="M38" i="14"/>
  <c r="L43" i="14"/>
  <c r="M43" i="14" s="1"/>
  <c r="E284" i="19"/>
  <c r="P42" i="14"/>
  <c r="N34" i="14"/>
  <c r="K44" i="14"/>
  <c r="N37" i="14"/>
  <c r="G278" i="19"/>
  <c r="E34" i="11"/>
  <c r="F32" i="11"/>
  <c r="H276" i="19"/>
  <c r="I35" i="14"/>
  <c r="I40" i="14"/>
  <c r="H33" i="14"/>
  <c r="H58" i="13" l="1"/>
  <c r="E45" i="8" s="1"/>
  <c r="I364" i="19"/>
  <c r="M20" i="13"/>
  <c r="M21" i="13" s="1"/>
  <c r="H38" i="15"/>
  <c r="R41" i="14"/>
  <c r="S41" i="14" s="1"/>
  <c r="T41" i="14" s="1"/>
  <c r="U41" i="14" s="1"/>
  <c r="V41" i="14" s="1"/>
  <c r="W41" i="14" s="1"/>
  <c r="X41" i="14" s="1"/>
  <c r="Y41" i="14" s="1"/>
  <c r="Z41" i="14" s="1"/>
  <c r="AA41" i="14" s="1"/>
  <c r="AB41" i="14" s="1"/>
  <c r="AC41" i="14" s="1"/>
  <c r="AD41" i="14" s="1"/>
  <c r="AE41" i="14" s="1"/>
  <c r="AF41" i="14" s="1"/>
  <c r="AG41" i="14" s="1"/>
  <c r="AH41" i="14" s="1"/>
  <c r="AI41" i="14" s="1"/>
  <c r="AJ41" i="14" s="1"/>
  <c r="AK41" i="14" s="1"/>
  <c r="AL41" i="14" s="1"/>
  <c r="L36" i="14"/>
  <c r="M36" i="14" s="1"/>
  <c r="N36" i="14" s="1"/>
  <c r="J40" i="14"/>
  <c r="J35" i="14"/>
  <c r="K35" i="14" s="1"/>
  <c r="L35" i="14" s="1"/>
  <c r="M35" i="14" s="1"/>
  <c r="E39" i="11"/>
  <c r="I41" i="13" s="1"/>
  <c r="I42" i="13" s="1"/>
  <c r="G280" i="19"/>
  <c r="O37" i="14"/>
  <c r="P37" i="14" s="1"/>
  <c r="N38" i="14"/>
  <c r="I33" i="14"/>
  <c r="I45" i="14" s="1"/>
  <c r="J35" i="8" s="1"/>
  <c r="I30" i="11" s="1"/>
  <c r="F284" i="19"/>
  <c r="H45" i="14"/>
  <c r="I35" i="8" s="1"/>
  <c r="H30" i="11" s="1"/>
  <c r="H278" i="19"/>
  <c r="F34" i="11"/>
  <c r="L44" i="14"/>
  <c r="M44" i="14" s="1"/>
  <c r="O34" i="14"/>
  <c r="P34" i="14" s="1"/>
  <c r="Q34" i="14" s="1"/>
  <c r="Q42" i="14"/>
  <c r="R42" i="14" s="1"/>
  <c r="S42" i="14" s="1"/>
  <c r="T42" i="14" s="1"/>
  <c r="U42" i="14" s="1"/>
  <c r="V42" i="14" s="1"/>
  <c r="W42" i="14" s="1"/>
  <c r="X42" i="14" s="1"/>
  <c r="Y42" i="14" s="1"/>
  <c r="Z42" i="14" s="1"/>
  <c r="AA42" i="14" s="1"/>
  <c r="AB42" i="14" s="1"/>
  <c r="AC42" i="14" s="1"/>
  <c r="AD42" i="14" s="1"/>
  <c r="AE42" i="14" s="1"/>
  <c r="AF42" i="14" s="1"/>
  <c r="AG42" i="14" s="1"/>
  <c r="AH42" i="14" s="1"/>
  <c r="AI42" i="14" s="1"/>
  <c r="AJ42" i="14" s="1"/>
  <c r="AK42" i="14" s="1"/>
  <c r="AL42" i="14" s="1"/>
  <c r="N43" i="14"/>
  <c r="I276" i="19"/>
  <c r="G32" i="11"/>
  <c r="N39" i="14"/>
  <c r="O39" i="14" s="1"/>
  <c r="P39" i="14" s="1"/>
  <c r="Q39" i="14" s="1"/>
  <c r="R39" i="14" s="1"/>
  <c r="S39" i="14" s="1"/>
  <c r="T39" i="14" s="1"/>
  <c r="U39" i="14" s="1"/>
  <c r="V39" i="14" s="1"/>
  <c r="W39" i="14" s="1"/>
  <c r="X39" i="14" s="1"/>
  <c r="Y39" i="14" s="1"/>
  <c r="Z39" i="14" s="1"/>
  <c r="AA39" i="14" s="1"/>
  <c r="AB39" i="14" s="1"/>
  <c r="AC39" i="14" s="1"/>
  <c r="AD39" i="14" s="1"/>
  <c r="AE39" i="14" s="1"/>
  <c r="AF39" i="14" s="1"/>
  <c r="AG39" i="14" s="1"/>
  <c r="AH39" i="14" s="1"/>
  <c r="AI39" i="14" s="1"/>
  <c r="AJ39" i="14" s="1"/>
  <c r="AK39" i="14" s="1"/>
  <c r="AL39" i="14" s="1"/>
  <c r="I59" i="13" l="1"/>
  <c r="I58" i="13"/>
  <c r="O43" i="14"/>
  <c r="P43" i="14" s="1"/>
  <c r="N20" i="13"/>
  <c r="N21" i="13" s="1"/>
  <c r="O20" i="13" s="1"/>
  <c r="O21" i="13" s="1"/>
  <c r="I38" i="15"/>
  <c r="J364" i="19"/>
  <c r="J33" i="14"/>
  <c r="J45" i="14" s="1"/>
  <c r="K35" i="8" s="1"/>
  <c r="J30" i="11" s="1"/>
  <c r="F301" i="19" s="1"/>
  <c r="O36" i="14"/>
  <c r="P36" i="14" s="1"/>
  <c r="Q36" i="14" s="1"/>
  <c r="R36" i="14" s="1"/>
  <c r="S36" i="14" s="1"/>
  <c r="T36" i="14" s="1"/>
  <c r="U36" i="14" s="1"/>
  <c r="V36" i="14" s="1"/>
  <c r="W36" i="14" s="1"/>
  <c r="X36" i="14" s="1"/>
  <c r="Y36" i="14" s="1"/>
  <c r="Z36" i="14" s="1"/>
  <c r="AA36" i="14" s="1"/>
  <c r="AB36" i="14" s="1"/>
  <c r="AC36" i="14" s="1"/>
  <c r="AD36" i="14" s="1"/>
  <c r="AE36" i="14" s="1"/>
  <c r="AF36" i="14" s="1"/>
  <c r="AG36" i="14" s="1"/>
  <c r="AH36" i="14" s="1"/>
  <c r="AI36" i="14" s="1"/>
  <c r="AJ36" i="14" s="1"/>
  <c r="AK36" i="14" s="1"/>
  <c r="AL36" i="14" s="1"/>
  <c r="R34" i="14"/>
  <c r="S34" i="14" s="1"/>
  <c r="T34" i="14" s="1"/>
  <c r="U34" i="14" s="1"/>
  <c r="V34" i="14" s="1"/>
  <c r="W34" i="14" s="1"/>
  <c r="X34" i="14" s="1"/>
  <c r="Y34" i="14" s="1"/>
  <c r="Z34" i="14" s="1"/>
  <c r="AA34" i="14" s="1"/>
  <c r="AB34" i="14" s="1"/>
  <c r="AC34" i="14" s="1"/>
  <c r="AD34" i="14" s="1"/>
  <c r="AE34" i="14" s="1"/>
  <c r="AF34" i="14" s="1"/>
  <c r="AG34" i="14" s="1"/>
  <c r="AH34" i="14" s="1"/>
  <c r="AI34" i="14" s="1"/>
  <c r="AJ34" i="14" s="1"/>
  <c r="AK34" i="14" s="1"/>
  <c r="AL34" i="14" s="1"/>
  <c r="I278" i="19"/>
  <c r="G34" i="11"/>
  <c r="N44" i="14"/>
  <c r="O38" i="14"/>
  <c r="P38" i="14" s="1"/>
  <c r="Q38" i="14" s="1"/>
  <c r="Q37" i="14"/>
  <c r="N35" i="14"/>
  <c r="H280" i="19"/>
  <c r="F39" i="11"/>
  <c r="J41" i="13" s="1"/>
  <c r="J42" i="13" s="1"/>
  <c r="K43" i="13" s="1"/>
  <c r="K44" i="13" s="1"/>
  <c r="J276" i="19"/>
  <c r="H32" i="11"/>
  <c r="E301" i="19"/>
  <c r="I32" i="11"/>
  <c r="G284" i="19"/>
  <c r="K40" i="14"/>
  <c r="L40" i="14" s="1"/>
  <c r="M40" i="14" s="1"/>
  <c r="N40" i="14" s="1"/>
  <c r="O40" i="14" s="1"/>
  <c r="P40" i="14" s="1"/>
  <c r="Q40" i="14" s="1"/>
  <c r="R40" i="14" s="1"/>
  <c r="S40" i="14" s="1"/>
  <c r="T40" i="14" s="1"/>
  <c r="U40" i="14" s="1"/>
  <c r="V40" i="14" s="1"/>
  <c r="W40" i="14" s="1"/>
  <c r="X40" i="14" s="1"/>
  <c r="Y40" i="14" s="1"/>
  <c r="Z40" i="14" s="1"/>
  <c r="AA40" i="14" s="1"/>
  <c r="AB40" i="14" s="1"/>
  <c r="AC40" i="14" s="1"/>
  <c r="AD40" i="14" s="1"/>
  <c r="AE40" i="14" s="1"/>
  <c r="AF40" i="14" s="1"/>
  <c r="AG40" i="14" s="1"/>
  <c r="AH40" i="14" s="1"/>
  <c r="AI40" i="14" s="1"/>
  <c r="AJ40" i="14" s="1"/>
  <c r="AK40" i="14" s="1"/>
  <c r="AL40" i="14" s="1"/>
  <c r="D19" i="10" l="1"/>
  <c r="D10" i="10" s="1"/>
  <c r="F45" i="8"/>
  <c r="J58" i="13"/>
  <c r="G45" i="8" s="1"/>
  <c r="Q43" i="14"/>
  <c r="R43" i="14" s="1"/>
  <c r="S43" i="14" s="1"/>
  <c r="T43" i="14" s="1"/>
  <c r="U43" i="14" s="1"/>
  <c r="P20" i="13"/>
  <c r="P21" i="13" s="1"/>
  <c r="L38" i="15" s="1"/>
  <c r="K38" i="15"/>
  <c r="E395" i="19"/>
  <c r="J38" i="15"/>
  <c r="J32" i="11"/>
  <c r="F303" i="19" s="1"/>
  <c r="K33" i="14"/>
  <c r="L33" i="14" s="1"/>
  <c r="L45" i="14" s="1"/>
  <c r="M35" i="8" s="1"/>
  <c r="L30" i="11" s="1"/>
  <c r="R38" i="14"/>
  <c r="S38" i="14" s="1"/>
  <c r="T38" i="14" s="1"/>
  <c r="U38" i="14" s="1"/>
  <c r="V38" i="14" s="1"/>
  <c r="W38" i="14" s="1"/>
  <c r="X38" i="14" s="1"/>
  <c r="Y38" i="14" s="1"/>
  <c r="Z38" i="14" s="1"/>
  <c r="AA38" i="14" s="1"/>
  <c r="AB38" i="14" s="1"/>
  <c r="AC38" i="14" s="1"/>
  <c r="AD38" i="14" s="1"/>
  <c r="AE38" i="14" s="1"/>
  <c r="AF38" i="14" s="1"/>
  <c r="AG38" i="14" s="1"/>
  <c r="AH38" i="14" s="1"/>
  <c r="AI38" i="14" s="1"/>
  <c r="AJ38" i="14" s="1"/>
  <c r="AK38" i="14" s="1"/>
  <c r="AL38" i="14" s="1"/>
  <c r="I34" i="11"/>
  <c r="E303" i="19"/>
  <c r="H284" i="19"/>
  <c r="O35" i="14"/>
  <c r="P35" i="14" s="1"/>
  <c r="Q35" i="14" s="1"/>
  <c r="R35" i="14" s="1"/>
  <c r="S35" i="14" s="1"/>
  <c r="T35" i="14" s="1"/>
  <c r="R37" i="14"/>
  <c r="S37" i="14" s="1"/>
  <c r="T37" i="14" s="1"/>
  <c r="U37" i="14" s="1"/>
  <c r="V37" i="14" s="1"/>
  <c r="W37" i="14" s="1"/>
  <c r="X37" i="14" s="1"/>
  <c r="Y37" i="14" s="1"/>
  <c r="Z37" i="14" s="1"/>
  <c r="AA37" i="14" s="1"/>
  <c r="AB37" i="14" s="1"/>
  <c r="AC37" i="14" s="1"/>
  <c r="AD37" i="14" s="1"/>
  <c r="AE37" i="14" s="1"/>
  <c r="AF37" i="14" s="1"/>
  <c r="AG37" i="14" s="1"/>
  <c r="AH37" i="14" s="1"/>
  <c r="AI37" i="14" s="1"/>
  <c r="AJ37" i="14" s="1"/>
  <c r="AK37" i="14" s="1"/>
  <c r="AL37" i="14" s="1"/>
  <c r="O44" i="14"/>
  <c r="P44" i="14" s="1"/>
  <c r="Q44" i="14" s="1"/>
  <c r="R44" i="14" s="1"/>
  <c r="S44" i="14" s="1"/>
  <c r="T44" i="14" s="1"/>
  <c r="J278" i="19"/>
  <c r="H34" i="11"/>
  <c r="G39" i="11"/>
  <c r="K41" i="13" s="1"/>
  <c r="K42" i="13" s="1"/>
  <c r="L43" i="13" s="1"/>
  <c r="L44" i="13" s="1"/>
  <c r="I280" i="19"/>
  <c r="E85" i="56" l="1"/>
  <c r="K59" i="13"/>
  <c r="K58" i="13"/>
  <c r="V43" i="14"/>
  <c r="W43" i="14" s="1"/>
  <c r="X43" i="14" s="1"/>
  <c r="Y43" i="14" s="1"/>
  <c r="Z43" i="14" s="1"/>
  <c r="F19" i="10" s="1"/>
  <c r="Q20" i="13"/>
  <c r="Q21" i="13" s="1"/>
  <c r="R20" i="13" s="1"/>
  <c r="R21" i="13" s="1"/>
  <c r="R25" i="13" s="1"/>
  <c r="R26" i="13" s="1"/>
  <c r="G395" i="19"/>
  <c r="F395" i="19"/>
  <c r="H395" i="19"/>
  <c r="M33" i="14"/>
  <c r="J34" i="11"/>
  <c r="J39" i="11" s="1"/>
  <c r="N41" i="13" s="1"/>
  <c r="N42" i="13" s="1"/>
  <c r="K45" i="14"/>
  <c r="L35" i="8" s="1"/>
  <c r="K30" i="11" s="1"/>
  <c r="K32" i="11" s="1"/>
  <c r="U44" i="14"/>
  <c r="V44" i="14" s="1"/>
  <c r="W44" i="14" s="1"/>
  <c r="X44" i="14" s="1"/>
  <c r="Y44" i="14" s="1"/>
  <c r="Z44" i="14" s="1"/>
  <c r="U35" i="14"/>
  <c r="V35" i="14" s="1"/>
  <c r="W35" i="14" s="1"/>
  <c r="X35" i="14" s="1"/>
  <c r="Y35" i="14" s="1"/>
  <c r="Z35" i="14" s="1"/>
  <c r="I284" i="19"/>
  <c r="H301" i="19"/>
  <c r="L32" i="11"/>
  <c r="H39" i="11"/>
  <c r="L41" i="13" s="1"/>
  <c r="L42" i="13" s="1"/>
  <c r="J280" i="19"/>
  <c r="E70" i="32"/>
  <c r="E207" i="19"/>
  <c r="E304" i="19"/>
  <c r="I39" i="11"/>
  <c r="M41" i="13" s="1"/>
  <c r="M42" i="13" s="1"/>
  <c r="M59" i="13" s="1"/>
  <c r="O43" i="13" l="1"/>
  <c r="O44" i="13" s="1"/>
  <c r="N58" i="13"/>
  <c r="N59" i="13"/>
  <c r="O64" i="13" s="1"/>
  <c r="N43" i="13"/>
  <c r="N44" i="13" s="1"/>
  <c r="H45" i="8"/>
  <c r="L59" i="13"/>
  <c r="L58" i="13"/>
  <c r="M58" i="13"/>
  <c r="J45" i="8" s="1"/>
  <c r="M43" i="13"/>
  <c r="F10" i="10"/>
  <c r="AA43" i="14"/>
  <c r="AB43" i="14" s="1"/>
  <c r="AC43" i="14" s="1"/>
  <c r="AD43" i="14" s="1"/>
  <c r="AE43" i="14" s="1"/>
  <c r="AF43" i="14" s="1"/>
  <c r="AG43" i="14" s="1"/>
  <c r="AH43" i="14" s="1"/>
  <c r="AI43" i="14" s="1"/>
  <c r="AJ43" i="14" s="1"/>
  <c r="AK43" i="14" s="1"/>
  <c r="AL43" i="14" s="1"/>
  <c r="H19" i="10" s="1"/>
  <c r="M45" i="14"/>
  <c r="N35" i="8" s="1"/>
  <c r="M30" i="11" s="1"/>
  <c r="M32" i="11" s="1"/>
  <c r="M38" i="15"/>
  <c r="I395" i="19" s="1"/>
  <c r="S20" i="13"/>
  <c r="S21" i="13" s="1"/>
  <c r="O38" i="15" s="1"/>
  <c r="D26" i="10"/>
  <c r="D24" i="10" s="1"/>
  <c r="D47" i="10"/>
  <c r="N38" i="15"/>
  <c r="N33" i="14"/>
  <c r="D9" i="10" s="1"/>
  <c r="G301" i="19"/>
  <c r="AA44" i="14"/>
  <c r="AB44" i="14" s="1"/>
  <c r="AC44" i="14" s="1"/>
  <c r="AD44" i="14" s="1"/>
  <c r="AE44" i="14" s="1"/>
  <c r="AF44" i="14" s="1"/>
  <c r="AG44" i="14" s="1"/>
  <c r="AH44" i="14" s="1"/>
  <c r="AI44" i="14" s="1"/>
  <c r="AJ44" i="14" s="1"/>
  <c r="AK44" i="14" s="1"/>
  <c r="AL44" i="14" s="1"/>
  <c r="F304" i="19"/>
  <c r="AA35" i="14"/>
  <c r="AB35" i="14" s="1"/>
  <c r="AC35" i="14" s="1"/>
  <c r="AD35" i="14" s="1"/>
  <c r="AE35" i="14" s="1"/>
  <c r="AF35" i="14" s="1"/>
  <c r="AG35" i="14" s="1"/>
  <c r="AH35" i="14" s="1"/>
  <c r="AI35" i="14" s="1"/>
  <c r="AJ35" i="14" s="1"/>
  <c r="AK35" i="14" s="1"/>
  <c r="AL35" i="14" s="1"/>
  <c r="E308" i="19"/>
  <c r="F308" i="19"/>
  <c r="J284" i="19"/>
  <c r="H303" i="19"/>
  <c r="L34" i="11"/>
  <c r="G303" i="19"/>
  <c r="K34" i="11"/>
  <c r="K45" i="8" l="1"/>
  <c r="E89" i="56"/>
  <c r="F85" i="56"/>
  <c r="I45" i="8"/>
  <c r="T20" i="13"/>
  <c r="T21" i="13" s="1"/>
  <c r="U20" i="13" s="1"/>
  <c r="U21" i="13" s="1"/>
  <c r="I301" i="19"/>
  <c r="H10" i="10"/>
  <c r="G85" i="56" s="1"/>
  <c r="G207" i="19"/>
  <c r="F70" i="32"/>
  <c r="D4" i="10"/>
  <c r="E84" i="56" s="1"/>
  <c r="J395" i="19"/>
  <c r="E74" i="32"/>
  <c r="E211" i="19"/>
  <c r="O33" i="14"/>
  <c r="P33" i="14" s="1"/>
  <c r="N45" i="14"/>
  <c r="O35" i="8" s="1"/>
  <c r="N30" i="11" s="1"/>
  <c r="N32" i="11" s="1"/>
  <c r="H304" i="19"/>
  <c r="L39" i="11"/>
  <c r="P41" i="13" s="1"/>
  <c r="P42" i="13" s="1"/>
  <c r="P59" i="13" s="1"/>
  <c r="I303" i="19"/>
  <c r="M34" i="11"/>
  <c r="G304" i="19"/>
  <c r="K39" i="11"/>
  <c r="O41" i="13" s="1"/>
  <c r="O42" i="13" s="1"/>
  <c r="O59" i="13" l="1"/>
  <c r="D3" i="10"/>
  <c r="E205" i="19" s="1"/>
  <c r="G70" i="32"/>
  <c r="O58" i="13"/>
  <c r="P43" i="13"/>
  <c r="Q43" i="13"/>
  <c r="Q44" i="13" s="1"/>
  <c r="P58" i="13"/>
  <c r="M45" i="8" s="1"/>
  <c r="P38" i="15"/>
  <c r="I207" i="19"/>
  <c r="E69" i="32"/>
  <c r="E206" i="19"/>
  <c r="Q38" i="15"/>
  <c r="V20" i="13"/>
  <c r="V21" i="13" s="1"/>
  <c r="O45" i="14"/>
  <c r="P35" i="8" s="1"/>
  <c r="O30" i="11" s="1"/>
  <c r="O32" i="11" s="1"/>
  <c r="O34" i="11" s="1"/>
  <c r="O39" i="11" s="1"/>
  <c r="S41" i="13" s="1"/>
  <c r="S42" i="13" s="1"/>
  <c r="J301" i="19"/>
  <c r="C17" i="12"/>
  <c r="R24" i="18"/>
  <c r="I254" i="19" s="1"/>
  <c r="J254" i="19" s="1"/>
  <c r="N34" i="11"/>
  <c r="J303" i="19"/>
  <c r="G308" i="19"/>
  <c r="P45" i="14"/>
  <c r="Q35" i="8" s="1"/>
  <c r="P30" i="11" s="1"/>
  <c r="P32" i="11" s="1"/>
  <c r="P34" i="11" s="1"/>
  <c r="P39" i="11" s="1"/>
  <c r="T41" i="13" s="1"/>
  <c r="T42" i="13" s="1"/>
  <c r="Q33" i="14"/>
  <c r="I304" i="19"/>
  <c r="M39" i="11"/>
  <c r="Q41" i="13" s="1"/>
  <c r="Q42" i="13" s="1"/>
  <c r="R43" i="13" s="1"/>
  <c r="R44" i="13" s="1"/>
  <c r="H308" i="19"/>
  <c r="L45" i="8" l="1"/>
  <c r="P64" i="13"/>
  <c r="S58" i="13"/>
  <c r="S60" i="13"/>
  <c r="Q58" i="13"/>
  <c r="Q59" i="13"/>
  <c r="E69" i="56"/>
  <c r="E83" i="56"/>
  <c r="E68" i="32"/>
  <c r="H18" i="51"/>
  <c r="T60" i="13"/>
  <c r="T59" i="13"/>
  <c r="S59" i="13"/>
  <c r="C20" i="12"/>
  <c r="H9" i="51"/>
  <c r="W20" i="13"/>
  <c r="W21" i="13" s="1"/>
  <c r="R38" i="15"/>
  <c r="C27" i="12"/>
  <c r="S24" i="18"/>
  <c r="E54" i="32"/>
  <c r="D17" i="12"/>
  <c r="F69" i="56" s="1"/>
  <c r="C327" i="19"/>
  <c r="C37" i="12"/>
  <c r="I308" i="19"/>
  <c r="Q45" i="14"/>
  <c r="R35" i="8" s="1"/>
  <c r="Q30" i="11" s="1"/>
  <c r="Q32" i="11" s="1"/>
  <c r="Q34" i="11" s="1"/>
  <c r="Q39" i="11" s="1"/>
  <c r="U41" i="13" s="1"/>
  <c r="U42" i="13" s="1"/>
  <c r="R33" i="14"/>
  <c r="J304" i="19"/>
  <c r="N39" i="11"/>
  <c r="R64" i="13" l="1"/>
  <c r="T65" i="13"/>
  <c r="N45" i="8"/>
  <c r="E115" i="32"/>
  <c r="E132" i="56"/>
  <c r="E79" i="56"/>
  <c r="L1" i="8"/>
  <c r="F54" i="32"/>
  <c r="C21" i="12"/>
  <c r="R41" i="13"/>
  <c r="R42" i="13" s="1"/>
  <c r="U43" i="13" s="1"/>
  <c r="U44" i="13" s="1"/>
  <c r="U60" i="13"/>
  <c r="U59" i="13"/>
  <c r="P45" i="8"/>
  <c r="Q45" i="8"/>
  <c r="V43" i="13"/>
  <c r="D327" i="19"/>
  <c r="S38" i="15"/>
  <c r="X20" i="13"/>
  <c r="X21" i="13" s="1"/>
  <c r="R1" i="22"/>
  <c r="C337" i="19"/>
  <c r="I1" i="3"/>
  <c r="K1" i="41"/>
  <c r="L1" i="7"/>
  <c r="E64" i="32"/>
  <c r="G9" i="20"/>
  <c r="R32" i="18"/>
  <c r="J308" i="19"/>
  <c r="R30" i="18"/>
  <c r="G35" i="20"/>
  <c r="R45" i="14"/>
  <c r="S35" i="8" s="1"/>
  <c r="R30" i="11" s="1"/>
  <c r="S33" i="14"/>
  <c r="N39" i="15" l="1"/>
  <c r="N43" i="15" s="1"/>
  <c r="R59" i="13"/>
  <c r="T43" i="13"/>
  <c r="E73" i="56"/>
  <c r="R45" i="8"/>
  <c r="R58" i="13"/>
  <c r="S43" i="13"/>
  <c r="T38" i="15"/>
  <c r="Y20" i="13"/>
  <c r="Y21" i="13" s="1"/>
  <c r="S45" i="14"/>
  <c r="T35" i="8" s="1"/>
  <c r="S30" i="11" s="1"/>
  <c r="S32" i="11" s="1"/>
  <c r="S34" i="11" s="1"/>
  <c r="S39" i="11" s="1"/>
  <c r="W41" i="13" s="1"/>
  <c r="W42" i="13" s="1"/>
  <c r="T33" i="14"/>
  <c r="C331" i="19"/>
  <c r="E58" i="32"/>
  <c r="C29" i="12"/>
  <c r="H67" i="1"/>
  <c r="D21" i="12"/>
  <c r="G31" i="13"/>
  <c r="R32" i="11"/>
  <c r="R34" i="11" s="1"/>
  <c r="R39" i="11" s="1"/>
  <c r="V41" i="13" s="1"/>
  <c r="V42" i="13" s="1"/>
  <c r="S30" i="18"/>
  <c r="I258" i="19"/>
  <c r="N46" i="15" l="1"/>
  <c r="J402" i="19" s="1"/>
  <c r="J399" i="19"/>
  <c r="W43" i="13"/>
  <c r="W44" i="13" s="1"/>
  <c r="X43" i="13"/>
  <c r="X44" i="13" s="1"/>
  <c r="O45" i="8"/>
  <c r="S64" i="13"/>
  <c r="F73" i="56"/>
  <c r="V60" i="13"/>
  <c r="V59" i="13"/>
  <c r="W60" i="13"/>
  <c r="W59" i="13"/>
  <c r="Z20" i="13"/>
  <c r="Z21" i="13" s="1"/>
  <c r="U38" i="15"/>
  <c r="F58" i="32"/>
  <c r="D331" i="19"/>
  <c r="T45" i="14"/>
  <c r="U35" i="8" s="1"/>
  <c r="T30" i="11" s="1"/>
  <c r="U33" i="14"/>
  <c r="J258" i="19"/>
  <c r="M35" i="20"/>
  <c r="B31" i="13"/>
  <c r="H31" i="13" s="1"/>
  <c r="T64" i="13" l="1"/>
  <c r="U64" i="13" s="1"/>
  <c r="Q39" i="15" s="1"/>
  <c r="Q43" i="15" s="1"/>
  <c r="Q46" i="15" s="1"/>
  <c r="T45" i="8"/>
  <c r="S45" i="8"/>
  <c r="V38" i="15"/>
  <c r="AA20" i="13"/>
  <c r="AA21" i="13" s="1"/>
  <c r="O34" i="13"/>
  <c r="L46" i="8" s="1"/>
  <c r="Q34" i="13"/>
  <c r="N46" i="8" s="1"/>
  <c r="L34" i="13"/>
  <c r="I46" i="8" s="1"/>
  <c r="J34" i="13"/>
  <c r="G46" i="8" s="1"/>
  <c r="P34" i="13"/>
  <c r="M46" i="8" s="1"/>
  <c r="H34" i="13"/>
  <c r="N34" i="13"/>
  <c r="K46" i="8" s="1"/>
  <c r="R34" i="13"/>
  <c r="O46" i="8" s="1"/>
  <c r="M34" i="13"/>
  <c r="J46" i="8" s="1"/>
  <c r="I34" i="13"/>
  <c r="F46" i="8" s="1"/>
  <c r="K34" i="13"/>
  <c r="H46" i="8" s="1"/>
  <c r="G34" i="13"/>
  <c r="T32" i="11"/>
  <c r="T34" i="11" s="1"/>
  <c r="T39" i="11" s="1"/>
  <c r="X41" i="13" s="1"/>
  <c r="X42" i="13" s="1"/>
  <c r="U45" i="14"/>
  <c r="V35" i="8" s="1"/>
  <c r="U30" i="11" s="1"/>
  <c r="U32" i="11" s="1"/>
  <c r="U34" i="11" s="1"/>
  <c r="U39" i="11" s="1"/>
  <c r="Y41" i="13" s="1"/>
  <c r="Y42" i="13" s="1"/>
  <c r="Y60" i="13" s="1"/>
  <c r="V33" i="14"/>
  <c r="V64" i="13" l="1"/>
  <c r="Z43" i="13"/>
  <c r="Z44" i="13" s="1"/>
  <c r="Y59" i="13"/>
  <c r="V45" i="8" s="1"/>
  <c r="X60" i="13"/>
  <c r="X59" i="13"/>
  <c r="Y43" i="13"/>
  <c r="W38" i="15"/>
  <c r="AB20" i="13"/>
  <c r="AB21" i="13" s="1"/>
  <c r="E41" i="11"/>
  <c r="E43" i="11" s="1"/>
  <c r="N41" i="11"/>
  <c r="N43" i="11" s="1"/>
  <c r="F41" i="11"/>
  <c r="F43" i="11" s="1"/>
  <c r="M41" i="11"/>
  <c r="M43" i="11" s="1"/>
  <c r="G41" i="11"/>
  <c r="G43" i="11" s="1"/>
  <c r="I41" i="11"/>
  <c r="I43" i="11" s="1"/>
  <c r="J41" i="11"/>
  <c r="J43" i="11" s="1"/>
  <c r="L41" i="11"/>
  <c r="L43" i="11" s="1"/>
  <c r="H41" i="11"/>
  <c r="H43" i="11" s="1"/>
  <c r="K41" i="11"/>
  <c r="K43" i="11" s="1"/>
  <c r="R35" i="13"/>
  <c r="Y36" i="13"/>
  <c r="D46" i="8"/>
  <c r="E46" i="8"/>
  <c r="V45" i="14"/>
  <c r="W35" i="8" s="1"/>
  <c r="V30" i="11" s="1"/>
  <c r="W33" i="14"/>
  <c r="R39" i="15" l="1"/>
  <c r="R43" i="15" s="1"/>
  <c r="R46" i="15" s="1"/>
  <c r="W64" i="13"/>
  <c r="S39" i="15" s="1"/>
  <c r="S43" i="15" s="1"/>
  <c r="S46" i="15" s="1"/>
  <c r="U45" i="8"/>
  <c r="X38" i="15"/>
  <c r="AC20" i="13"/>
  <c r="AC21" i="13" s="1"/>
  <c r="D41" i="11"/>
  <c r="D43" i="11" s="1"/>
  <c r="W45" i="14"/>
  <c r="X35" i="8" s="1"/>
  <c r="W30" i="11" s="1"/>
  <c r="W32" i="11" s="1"/>
  <c r="W34" i="11" s="1"/>
  <c r="W39" i="11" s="1"/>
  <c r="AA41" i="13" s="1"/>
  <c r="AA42" i="13" s="1"/>
  <c r="X33" i="14"/>
  <c r="R48" i="13"/>
  <c r="R46" i="13"/>
  <c r="AH36" i="13"/>
  <c r="AB36" i="13"/>
  <c r="AD36" i="13"/>
  <c r="V32" i="11"/>
  <c r="V34" i="11" s="1"/>
  <c r="V39" i="11" s="1"/>
  <c r="Z41" i="13" s="1"/>
  <c r="Z42" i="13" s="1"/>
  <c r="X64" i="13" l="1"/>
  <c r="Z60" i="13"/>
  <c r="AA43" i="13"/>
  <c r="AA44" i="13" s="1"/>
  <c r="Z64" i="13"/>
  <c r="V39" i="15" s="1"/>
  <c r="V43" i="15" s="1"/>
  <c r="V46" i="15" s="1"/>
  <c r="Z59" i="13"/>
  <c r="AB43" i="13"/>
  <c r="AA60" i="13"/>
  <c r="AB65" i="13" s="1"/>
  <c r="AA59" i="13"/>
  <c r="Y38" i="15"/>
  <c r="AD20" i="13"/>
  <c r="AD21" i="13" s="1"/>
  <c r="X45" i="14"/>
  <c r="Y35" i="8" s="1"/>
  <c r="X30" i="11" s="1"/>
  <c r="X32" i="11" s="1"/>
  <c r="X34" i="11" s="1"/>
  <c r="X39" i="11" s="1"/>
  <c r="AB41" i="13" s="1"/>
  <c r="AB42" i="13" s="1"/>
  <c r="AB60" i="13" s="1"/>
  <c r="Y33" i="14"/>
  <c r="T39" i="15" l="1"/>
  <c r="T43" i="15" s="1"/>
  <c r="T46" i="15" s="1"/>
  <c r="Y64" i="13"/>
  <c r="U39" i="15" s="1"/>
  <c r="U43" i="15" s="1"/>
  <c r="U46" i="15" s="1"/>
  <c r="W45" i="8"/>
  <c r="AA64" i="13"/>
  <c r="W39" i="15" s="1"/>
  <c r="W43" i="15" s="1"/>
  <c r="W46" i="15" s="1"/>
  <c r="AC43" i="13"/>
  <c r="AC44" i="13" s="1"/>
  <c r="AB59" i="13"/>
  <c r="X45" i="8"/>
  <c r="AE20" i="13"/>
  <c r="AE21" i="13" s="1"/>
  <c r="Z38" i="15"/>
  <c r="AD25" i="13"/>
  <c r="AD26" i="13" s="1"/>
  <c r="Y45" i="14"/>
  <c r="Z35" i="8" s="1"/>
  <c r="Y30" i="11" s="1"/>
  <c r="Y32" i="11" s="1"/>
  <c r="Y34" i="11" s="1"/>
  <c r="Y39" i="11" s="1"/>
  <c r="AC41" i="13" s="1"/>
  <c r="AC42" i="13" s="1"/>
  <c r="AD43" i="13" s="1"/>
  <c r="AD44" i="13" s="1"/>
  <c r="Z33" i="14"/>
  <c r="F9" i="10" s="1"/>
  <c r="AB64" i="13" l="1"/>
  <c r="X39" i="15" s="1"/>
  <c r="X43" i="15" s="1"/>
  <c r="X46" i="15" s="1"/>
  <c r="Y45" i="8"/>
  <c r="AC64" i="13"/>
  <c r="Y39" i="15" s="1"/>
  <c r="Y43" i="15" s="1"/>
  <c r="Y46" i="15" s="1"/>
  <c r="AC59" i="13"/>
  <c r="AC60" i="13"/>
  <c r="AD65" i="13" s="1"/>
  <c r="Z39" i="15" s="1"/>
  <c r="Z43" i="15" s="1"/>
  <c r="F4" i="10"/>
  <c r="F84" i="56" s="1"/>
  <c r="F47" i="10"/>
  <c r="F26" i="10"/>
  <c r="F24" i="10" s="1"/>
  <c r="AF20" i="13"/>
  <c r="AF21" i="13" s="1"/>
  <c r="AA38" i="15"/>
  <c r="Z45" i="14"/>
  <c r="AA35" i="8" s="1"/>
  <c r="Z30" i="11" s="1"/>
  <c r="AA33" i="14"/>
  <c r="Z45" i="8" l="1"/>
  <c r="F89" i="56"/>
  <c r="F3" i="10"/>
  <c r="F83" i="56" s="1"/>
  <c r="Z46" i="15"/>
  <c r="F74" i="32"/>
  <c r="G211" i="19"/>
  <c r="AG20" i="13"/>
  <c r="AG21" i="13" s="1"/>
  <c r="AB38" i="15"/>
  <c r="AA45" i="14"/>
  <c r="AB35" i="8" s="1"/>
  <c r="AA30" i="11" s="1"/>
  <c r="AB33" i="14"/>
  <c r="F69" i="32"/>
  <c r="G206" i="19"/>
  <c r="Z32" i="11"/>
  <c r="Z34" i="11" s="1"/>
  <c r="Z39" i="11" s="1"/>
  <c r="AD41" i="13" s="1"/>
  <c r="AD42" i="13" s="1"/>
  <c r="E17" i="12"/>
  <c r="G69" i="56" s="1"/>
  <c r="AD60" i="13" l="1"/>
  <c r="AE65" i="13" s="1"/>
  <c r="J9" i="51"/>
  <c r="J18" i="51"/>
  <c r="AD59" i="13"/>
  <c r="AE43" i="13"/>
  <c r="AC38" i="15"/>
  <c r="AH20" i="13"/>
  <c r="AH21" i="13" s="1"/>
  <c r="E21" i="12"/>
  <c r="I35" i="20"/>
  <c r="AB45" i="14"/>
  <c r="AC35" i="8" s="1"/>
  <c r="AB30" i="11" s="1"/>
  <c r="AB32" i="11" s="1"/>
  <c r="AB34" i="11" s="1"/>
  <c r="AB39" i="11" s="1"/>
  <c r="AF41" i="13" s="1"/>
  <c r="AF42" i="13" s="1"/>
  <c r="AC33" i="14"/>
  <c r="E327" i="19"/>
  <c r="E20" i="12"/>
  <c r="F17" i="12"/>
  <c r="G54" i="32"/>
  <c r="E27" i="12"/>
  <c r="F68" i="32"/>
  <c r="G205" i="19"/>
  <c r="AA32" i="11"/>
  <c r="AA34" i="11" s="1"/>
  <c r="AA39" i="11" s="1"/>
  <c r="AE41" i="13" s="1"/>
  <c r="AE42" i="13" s="1"/>
  <c r="AG43" i="13" l="1"/>
  <c r="AG44" i="13" s="1"/>
  <c r="AF43" i="13"/>
  <c r="AE59" i="13"/>
  <c r="AE61" i="13"/>
  <c r="F115" i="32"/>
  <c r="F132" i="56"/>
  <c r="G79" i="56"/>
  <c r="H69" i="56"/>
  <c r="G73" i="56"/>
  <c r="AF61" i="13"/>
  <c r="AF60" i="13"/>
  <c r="AE60" i="13"/>
  <c r="AA45" i="8"/>
  <c r="AE64" i="13"/>
  <c r="AA39" i="15" s="1"/>
  <c r="AD38" i="15"/>
  <c r="AI20" i="13"/>
  <c r="AI21" i="13" s="1"/>
  <c r="G64" i="32"/>
  <c r="E337" i="19"/>
  <c r="H54" i="32"/>
  <c r="F327" i="19"/>
  <c r="AC45" i="14"/>
  <c r="AD35" i="8" s="1"/>
  <c r="AC30" i="11" s="1"/>
  <c r="AD33" i="14"/>
  <c r="E29" i="12"/>
  <c r="G58" i="32"/>
  <c r="F21" i="12"/>
  <c r="E331" i="19"/>
  <c r="I67" i="1"/>
  <c r="G32" i="13"/>
  <c r="AF66" i="13" l="1"/>
  <c r="AF64" i="13"/>
  <c r="H73" i="56"/>
  <c r="AA43" i="15"/>
  <c r="AC45" i="8"/>
  <c r="AF65" i="13"/>
  <c r="AG65" i="13" s="1"/>
  <c r="AC39" i="15" s="1"/>
  <c r="AC43" i="15" s="1"/>
  <c r="AC46" i="15" s="1"/>
  <c r="AB45" i="8"/>
  <c r="AE38" i="15"/>
  <c r="AJ20" i="13"/>
  <c r="AJ21" i="13" s="1"/>
  <c r="AF38" i="15" s="1"/>
  <c r="F331" i="19"/>
  <c r="H58" i="32"/>
  <c r="AC32" i="11"/>
  <c r="AC34" i="11" s="1"/>
  <c r="AC39" i="11" s="1"/>
  <c r="AG41" i="13" s="1"/>
  <c r="AG42" i="13" s="1"/>
  <c r="B32" i="13"/>
  <c r="H32" i="13" s="1"/>
  <c r="AD45" i="14"/>
  <c r="AE35" i="8" s="1"/>
  <c r="AD30" i="11" s="1"/>
  <c r="AE33" i="14"/>
  <c r="AB39" i="15" l="1"/>
  <c r="AB43" i="15" s="1"/>
  <c r="AB46" i="15" s="1"/>
  <c r="AA46" i="15"/>
  <c r="AG61" i="13"/>
  <c r="AG60" i="13"/>
  <c r="AH43" i="13"/>
  <c r="AK20" i="13"/>
  <c r="AK21" i="13" s="1"/>
  <c r="AD32" i="11"/>
  <c r="AD34" i="11" s="1"/>
  <c r="AD39" i="11" s="1"/>
  <c r="AH41" i="13" s="1"/>
  <c r="AH42" i="13" s="1"/>
  <c r="AI43" i="13" s="1"/>
  <c r="AI44" i="13" s="1"/>
  <c r="S34" i="13"/>
  <c r="AB34" i="13"/>
  <c r="Y46" i="8" s="1"/>
  <c r="T34" i="13"/>
  <c r="Q46" i="8" s="1"/>
  <c r="Y34" i="13"/>
  <c r="V46" i="8" s="1"/>
  <c r="Z34" i="13"/>
  <c r="W46" i="8" s="1"/>
  <c r="AA34" i="13"/>
  <c r="X46" i="8" s="1"/>
  <c r="AC34" i="13"/>
  <c r="Z46" i="8" s="1"/>
  <c r="X34" i="13"/>
  <c r="U46" i="8" s="1"/>
  <c r="W34" i="13"/>
  <c r="T46" i="8" s="1"/>
  <c r="AD34" i="13"/>
  <c r="AA46" i="8" s="1"/>
  <c r="V34" i="13"/>
  <c r="S46" i="8" s="1"/>
  <c r="U34" i="13"/>
  <c r="R46" i="8" s="1"/>
  <c r="AE45" i="14"/>
  <c r="AF35" i="8" s="1"/>
  <c r="AE30" i="11" s="1"/>
  <c r="AE32" i="11" s="1"/>
  <c r="AE34" i="11" s="1"/>
  <c r="AE39" i="11" s="1"/>
  <c r="AI41" i="13" s="1"/>
  <c r="AI42" i="13" s="1"/>
  <c r="AF33" i="14"/>
  <c r="AJ43" i="13" l="1"/>
  <c r="AJ44" i="13" s="1"/>
  <c r="AH61" i="13"/>
  <c r="AH60" i="13"/>
  <c r="AI61" i="13"/>
  <c r="AI60" i="13"/>
  <c r="AD45" i="8"/>
  <c r="AH65" i="13"/>
  <c r="AD39" i="15" s="1"/>
  <c r="AG38" i="15"/>
  <c r="AL20" i="13"/>
  <c r="AL21" i="13" s="1"/>
  <c r="Q41" i="11"/>
  <c r="Q43" i="11" s="1"/>
  <c r="Z41" i="11"/>
  <c r="Z43" i="11" s="1"/>
  <c r="T41" i="11"/>
  <c r="T43" i="11" s="1"/>
  <c r="V41" i="11"/>
  <c r="V43" i="11" s="1"/>
  <c r="P41" i="11"/>
  <c r="P43" i="11" s="1"/>
  <c r="R41" i="11"/>
  <c r="R43" i="11" s="1"/>
  <c r="S41" i="11"/>
  <c r="S43" i="11" s="1"/>
  <c r="Y41" i="11"/>
  <c r="Y43" i="11" s="1"/>
  <c r="W41" i="11"/>
  <c r="W43" i="11" s="1"/>
  <c r="U41" i="11"/>
  <c r="U43" i="11" s="1"/>
  <c r="X41" i="11"/>
  <c r="X43" i="11" s="1"/>
  <c r="AF45" i="14"/>
  <c r="AG35" i="8" s="1"/>
  <c r="AF30" i="11" s="1"/>
  <c r="AG33" i="14"/>
  <c r="P46" i="8"/>
  <c r="AD45" i="13"/>
  <c r="AK36" i="13"/>
  <c r="AD35" i="13"/>
  <c r="AI65" i="13" l="1"/>
  <c r="AE39" i="15" s="1"/>
  <c r="AE43" i="15" s="1"/>
  <c r="AE46" i="15" s="1"/>
  <c r="AD43" i="15"/>
  <c r="AF45" i="8"/>
  <c r="AE45" i="8"/>
  <c r="AM20" i="13"/>
  <c r="AM21" i="13" s="1"/>
  <c r="AH38" i="15"/>
  <c r="O41" i="11"/>
  <c r="E23" i="12" s="1"/>
  <c r="AF32" i="11"/>
  <c r="AF34" i="11" s="1"/>
  <c r="AF39" i="11" s="1"/>
  <c r="AJ41" i="13" s="1"/>
  <c r="AJ42" i="13" s="1"/>
  <c r="AP36" i="13"/>
  <c r="AN36" i="13"/>
  <c r="AD46" i="13"/>
  <c r="AD48" i="13"/>
  <c r="AG45" i="14"/>
  <c r="AH35" i="8" s="1"/>
  <c r="AG30" i="11" s="1"/>
  <c r="AG32" i="11" s="1"/>
  <c r="AG34" i="11" s="1"/>
  <c r="AG39" i="11" s="1"/>
  <c r="AK41" i="13" s="1"/>
  <c r="AK42" i="13" s="1"/>
  <c r="AK61" i="13" s="1"/>
  <c r="AH33" i="14"/>
  <c r="AJ65" i="13" l="1"/>
  <c r="AF39" i="15" s="1"/>
  <c r="AF43" i="15" s="1"/>
  <c r="AF46" i="15" s="1"/>
  <c r="AL43" i="13"/>
  <c r="AL44" i="13" s="1"/>
  <c r="G75" i="56"/>
  <c r="AD46" i="15"/>
  <c r="AK60" i="13"/>
  <c r="AJ61" i="13"/>
  <c r="AJ60" i="13"/>
  <c r="AK43" i="13"/>
  <c r="AI38" i="15"/>
  <c r="AN20" i="13"/>
  <c r="AN21" i="13" s="1"/>
  <c r="O43" i="11"/>
  <c r="AH45" i="14"/>
  <c r="AI35" i="8" s="1"/>
  <c r="AH30" i="11" s="1"/>
  <c r="AH32" i="11" s="1"/>
  <c r="AH34" i="11" s="1"/>
  <c r="AH39" i="11" s="1"/>
  <c r="AL41" i="13" s="1"/>
  <c r="AL42" i="13" s="1"/>
  <c r="AL61" i="13" s="1"/>
  <c r="AI33" i="14"/>
  <c r="AM43" i="13" l="1"/>
  <c r="AM44" i="13" s="1"/>
  <c r="AL60" i="13"/>
  <c r="AI45" i="8" s="1"/>
  <c r="AH45" i="8"/>
  <c r="AG45" i="8"/>
  <c r="AK65" i="13"/>
  <c r="AG39" i="15" s="1"/>
  <c r="AO20" i="13"/>
  <c r="AO21" i="13" s="1"/>
  <c r="AJ38" i="15"/>
  <c r="AI45" i="14"/>
  <c r="AJ35" i="8" s="1"/>
  <c r="AI30" i="11" s="1"/>
  <c r="AI32" i="11" s="1"/>
  <c r="AI34" i="11" s="1"/>
  <c r="AI39" i="11" s="1"/>
  <c r="AM41" i="13" s="1"/>
  <c r="AM42" i="13" s="1"/>
  <c r="AJ33" i="14"/>
  <c r="AL65" i="13" l="1"/>
  <c r="AM61" i="13"/>
  <c r="AN66" i="13" s="1"/>
  <c r="AM60" i="13"/>
  <c r="AG43" i="15"/>
  <c r="AN43" i="13"/>
  <c r="AK38" i="15"/>
  <c r="AP20" i="13"/>
  <c r="AP21" i="13" s="1"/>
  <c r="AJ45" i="14"/>
  <c r="AK35" i="8" s="1"/>
  <c r="AJ30" i="11" s="1"/>
  <c r="AJ32" i="11" s="1"/>
  <c r="AJ34" i="11" s="1"/>
  <c r="AJ39" i="11" s="1"/>
  <c r="AN41" i="13" s="1"/>
  <c r="AN42" i="13" s="1"/>
  <c r="AO43" i="13" s="1"/>
  <c r="AO44" i="13" s="1"/>
  <c r="AK33" i="14"/>
  <c r="AM65" i="13" l="1"/>
  <c r="AI39" i="15" s="1"/>
  <c r="AI43" i="15" s="1"/>
  <c r="AI46" i="15" s="1"/>
  <c r="AH39" i="15"/>
  <c r="AH43" i="15" s="1"/>
  <c r="AH46" i="15" s="1"/>
  <c r="AN60" i="13"/>
  <c r="AN61" i="13"/>
  <c r="AG46" i="15"/>
  <c r="AJ45" i="8"/>
  <c r="AN65" i="13"/>
  <c r="AJ39" i="15" s="1"/>
  <c r="AP25" i="13"/>
  <c r="AP26" i="13" s="1"/>
  <c r="AL38" i="15"/>
  <c r="AK45" i="14"/>
  <c r="AL35" i="8" s="1"/>
  <c r="AK30" i="11" s="1"/>
  <c r="AK32" i="11" s="1"/>
  <c r="AK34" i="11" s="1"/>
  <c r="AK39" i="11" s="1"/>
  <c r="AO41" i="13" s="1"/>
  <c r="AO42" i="13" s="1"/>
  <c r="AP43" i="13" s="1"/>
  <c r="AP44" i="13" s="1"/>
  <c r="AL33" i="14"/>
  <c r="H9" i="10" s="1"/>
  <c r="AK45" i="8" l="1"/>
  <c r="AO65" i="13"/>
  <c r="AK39" i="15" s="1"/>
  <c r="AK43" i="15" s="1"/>
  <c r="AK46" i="15" s="1"/>
  <c r="AO60" i="13"/>
  <c r="AO61" i="13"/>
  <c r="AP66" i="13" s="1"/>
  <c r="AL39" i="15" s="1"/>
  <c r="AL43" i="15" s="1"/>
  <c r="AJ43" i="15"/>
  <c r="H4" i="10"/>
  <c r="G84" i="56" s="1"/>
  <c r="H47" i="10"/>
  <c r="H26" i="10"/>
  <c r="H24" i="10" s="1"/>
  <c r="AL45" i="14"/>
  <c r="AM35" i="8" s="1"/>
  <c r="AL30" i="11" s="1"/>
  <c r="G114" i="56" l="1"/>
  <c r="G117" i="56" s="1"/>
  <c r="AL45" i="8"/>
  <c r="G89" i="56"/>
  <c r="H3" i="10"/>
  <c r="G83" i="56" s="1"/>
  <c r="H83" i="56" s="1"/>
  <c r="AJ46" i="15"/>
  <c r="G74" i="32"/>
  <c r="I211" i="19"/>
  <c r="AL46" i="15"/>
  <c r="G98" i="32"/>
  <c r="G101" i="32" s="1"/>
  <c r="I206" i="19"/>
  <c r="G69" i="32"/>
  <c r="AL32" i="11"/>
  <c r="AL34" i="11" s="1"/>
  <c r="AL39" i="11" s="1"/>
  <c r="AP41" i="13" s="1"/>
  <c r="AP42" i="13" s="1"/>
  <c r="G17" i="12"/>
  <c r="I69" i="56" s="1"/>
  <c r="AP60" i="13" l="1"/>
  <c r="AQ65" i="13" s="1"/>
  <c r="AP61" i="13"/>
  <c r="AQ66" i="13" s="1"/>
  <c r="L9" i="51"/>
  <c r="L18" i="51"/>
  <c r="G21" i="12"/>
  <c r="J35" i="20"/>
  <c r="I54" i="32"/>
  <c r="G27" i="12"/>
  <c r="G327" i="19"/>
  <c r="G20" i="12"/>
  <c r="H17" i="12"/>
  <c r="I205" i="19"/>
  <c r="G68" i="32"/>
  <c r="H68" i="32" s="1"/>
  <c r="AM45" i="8" l="1"/>
  <c r="G132" i="56"/>
  <c r="I79" i="56"/>
  <c r="J69" i="56"/>
  <c r="I73" i="56"/>
  <c r="G115" i="32"/>
  <c r="G337" i="19"/>
  <c r="I64" i="32"/>
  <c r="H327" i="19"/>
  <c r="J54" i="32"/>
  <c r="G331" i="19"/>
  <c r="G29" i="12"/>
  <c r="I58" i="32"/>
  <c r="H21" i="12"/>
  <c r="J67" i="1"/>
  <c r="B33" i="13" s="1"/>
  <c r="G33" i="13"/>
  <c r="J73" i="56" l="1"/>
  <c r="H331" i="19"/>
  <c r="J58" i="32"/>
  <c r="H33" i="13"/>
  <c r="AP34" i="13" l="1"/>
  <c r="AM46" i="8" s="1"/>
  <c r="AH34" i="13"/>
  <c r="AE46" i="8" s="1"/>
  <c r="AI34" i="13"/>
  <c r="AF46" i="8" s="1"/>
  <c r="AN34" i="13"/>
  <c r="AK46" i="8" s="1"/>
  <c r="AF34" i="13"/>
  <c r="AC46" i="8" s="1"/>
  <c r="AE34" i="13"/>
  <c r="AM34" i="13"/>
  <c r="AJ46" i="8" s="1"/>
  <c r="AL34" i="13"/>
  <c r="AI46" i="8" s="1"/>
  <c r="AO34" i="13"/>
  <c r="AL46" i="8" s="1"/>
  <c r="AG34" i="13"/>
  <c r="AD46" i="8" s="1"/>
  <c r="AJ34" i="13"/>
  <c r="AG46" i="8" s="1"/>
  <c r="AK34" i="13"/>
  <c r="AH46" i="8" s="1"/>
  <c r="AF41" i="11" l="1"/>
  <c r="AF43" i="11" s="1"/>
  <c r="AK41" i="11"/>
  <c r="AK43" i="11" s="1"/>
  <c r="AI41" i="11"/>
  <c r="AI43" i="11" s="1"/>
  <c r="AB41" i="11"/>
  <c r="AB43" i="11" s="1"/>
  <c r="AE41" i="11"/>
  <c r="AE43" i="11" s="1"/>
  <c r="AL41" i="11"/>
  <c r="AL43" i="11" s="1"/>
  <c r="AG41" i="11"/>
  <c r="AG43" i="11" s="1"/>
  <c r="AC41" i="11"/>
  <c r="AC43" i="11" s="1"/>
  <c r="AH41" i="11"/>
  <c r="AH43" i="11" s="1"/>
  <c r="AJ41" i="11"/>
  <c r="AJ43" i="11" s="1"/>
  <c r="AD41" i="11"/>
  <c r="AD43" i="11" s="1"/>
  <c r="I36" i="20"/>
  <c r="E333" i="19"/>
  <c r="G60" i="32"/>
  <c r="E25" i="12"/>
  <c r="AP45" i="13"/>
  <c r="AB46" i="8"/>
  <c r="AP35" i="13"/>
  <c r="G77" i="56" l="1"/>
  <c r="F38" i="10"/>
  <c r="J13" i="51"/>
  <c r="AA41" i="11"/>
  <c r="G23" i="12" s="1"/>
  <c r="AP46" i="13"/>
  <c r="AP48" i="13"/>
  <c r="I37" i="20"/>
  <c r="I38" i="20" s="1"/>
  <c r="I33" i="20"/>
  <c r="E335" i="19"/>
  <c r="F25" i="12"/>
  <c r="G62" i="32"/>
  <c r="H77" i="56" l="1"/>
  <c r="I75" i="56"/>
  <c r="F98" i="56"/>
  <c r="G333" i="19"/>
  <c r="J36" i="20"/>
  <c r="J37" i="20" s="1"/>
  <c r="J38" i="20" s="1"/>
  <c r="I60" i="32"/>
  <c r="G25" i="12"/>
  <c r="I77" i="56" s="1"/>
  <c r="AA43" i="11"/>
  <c r="I27" i="20"/>
  <c r="F83" i="32"/>
  <c r="G221" i="19"/>
  <c r="F335" i="19"/>
  <c r="H62" i="32"/>
  <c r="L13" i="51" l="1"/>
  <c r="H38" i="10"/>
  <c r="I62" i="32"/>
  <c r="H25" i="12"/>
  <c r="G335" i="19"/>
  <c r="J33" i="20"/>
  <c r="J77" i="56" l="1"/>
  <c r="G98" i="56"/>
  <c r="H335" i="19"/>
  <c r="J62" i="32"/>
  <c r="I221" i="19"/>
  <c r="G83" i="32"/>
  <c r="J27" i="20"/>
  <c r="I10" i="51" l="1"/>
  <c r="K10" i="51" l="1"/>
  <c r="M10" i="51" l="1"/>
  <c r="I9" i="51" l="1"/>
  <c r="H11" i="51"/>
  <c r="H12" i="51"/>
  <c r="I12" i="51" s="1"/>
  <c r="I11" i="51" l="1"/>
  <c r="H14" i="51"/>
  <c r="I14" i="51" s="1"/>
  <c r="K9" i="51" l="1"/>
  <c r="J11" i="51"/>
  <c r="J12" i="51"/>
  <c r="K12" i="51" s="1"/>
  <c r="K11" i="51" l="1"/>
  <c r="J14" i="51"/>
  <c r="K14" i="51" s="1"/>
  <c r="M9" i="51" l="1"/>
  <c r="L11" i="51"/>
  <c r="L12" i="51"/>
  <c r="M12" i="51" s="1"/>
  <c r="M11" i="51" l="1"/>
  <c r="L14" i="51"/>
  <c r="M14" i="51" s="1"/>
  <c r="K13" i="51" l="1"/>
  <c r="M13" i="51" l="1"/>
  <c r="G58" i="13"/>
  <c r="H63" i="13" l="1"/>
  <c r="D45" i="8"/>
  <c r="C41" i="11" s="1"/>
  <c r="J43" i="13"/>
  <c r="J44" i="13" s="1"/>
  <c r="M44" i="13" s="1"/>
  <c r="D39" i="15" l="1"/>
  <c r="D43" i="15" s="1"/>
  <c r="I63" i="13"/>
  <c r="K63" i="13"/>
  <c r="G39" i="15" s="1"/>
  <c r="P44" i="13"/>
  <c r="S44" i="13" s="1"/>
  <c r="T44" i="13" s="1"/>
  <c r="C43" i="11"/>
  <c r="C45" i="11" s="1"/>
  <c r="D45" i="11" s="1"/>
  <c r="E45" i="11" s="1"/>
  <c r="F45" i="11" s="1"/>
  <c r="G45" i="11" s="1"/>
  <c r="H45" i="11" s="1"/>
  <c r="I45" i="11" s="1"/>
  <c r="J45" i="11" s="1"/>
  <c r="K45" i="11" s="1"/>
  <c r="L45" i="11" s="1"/>
  <c r="M45" i="11" s="1"/>
  <c r="N45" i="11" s="1"/>
  <c r="O45" i="11" s="1"/>
  <c r="P45" i="11" s="1"/>
  <c r="Q45" i="11" s="1"/>
  <c r="R45" i="11" s="1"/>
  <c r="S45" i="11" s="1"/>
  <c r="T45" i="11" s="1"/>
  <c r="U45" i="11" s="1"/>
  <c r="V45" i="11" s="1"/>
  <c r="W45" i="11" s="1"/>
  <c r="X45" i="11" s="1"/>
  <c r="Y45" i="11" s="1"/>
  <c r="Z45" i="11" s="1"/>
  <c r="AA45" i="11" s="1"/>
  <c r="AB45" i="11" s="1"/>
  <c r="AC45" i="11" s="1"/>
  <c r="AD45" i="11" s="1"/>
  <c r="AE45" i="11" s="1"/>
  <c r="AF45" i="11" s="1"/>
  <c r="AG45" i="11" s="1"/>
  <c r="AH45" i="11" s="1"/>
  <c r="AI45" i="11" s="1"/>
  <c r="AJ45" i="11" s="1"/>
  <c r="AK45" i="11" s="1"/>
  <c r="AL45" i="11" s="1"/>
  <c r="C23" i="12"/>
  <c r="E39" i="15" l="1"/>
  <c r="J63" i="13"/>
  <c r="D46" i="15"/>
  <c r="F371" i="19" s="1"/>
  <c r="F368" i="19"/>
  <c r="E43" i="15"/>
  <c r="G368" i="19" s="1"/>
  <c r="L63" i="13"/>
  <c r="G43" i="15"/>
  <c r="N63" i="13"/>
  <c r="E75" i="56"/>
  <c r="V44" i="13"/>
  <c r="C333" i="19"/>
  <c r="E60" i="32"/>
  <c r="G36" i="20"/>
  <c r="C25" i="12"/>
  <c r="D38" i="10"/>
  <c r="F37" i="10" s="1"/>
  <c r="H37" i="10" s="1"/>
  <c r="F39" i="15" l="1"/>
  <c r="F43" i="15" s="1"/>
  <c r="M63" i="13"/>
  <c r="D47" i="15"/>
  <c r="E45" i="15" s="1"/>
  <c r="J39" i="15"/>
  <c r="J43" i="15" s="1"/>
  <c r="H39" i="15"/>
  <c r="H43" i="15" s="1"/>
  <c r="E46" i="15"/>
  <c r="G371" i="19" s="1"/>
  <c r="E98" i="56"/>
  <c r="O63" i="13"/>
  <c r="Q63" i="13"/>
  <c r="G46" i="15"/>
  <c r="I371" i="19" s="1"/>
  <c r="I368" i="19"/>
  <c r="E77" i="56"/>
  <c r="D33" i="10"/>
  <c r="Y44" i="13"/>
  <c r="AB44" i="13" s="1"/>
  <c r="AE44" i="13" s="1"/>
  <c r="AF44" i="13" s="1"/>
  <c r="G33" i="20"/>
  <c r="H1" i="8"/>
  <c r="G5" i="20"/>
  <c r="D25" i="12"/>
  <c r="G1" i="41"/>
  <c r="N1" i="22"/>
  <c r="H1" i="7"/>
  <c r="E1" i="3" s="1"/>
  <c r="C335" i="19"/>
  <c r="M33" i="20" s="1"/>
  <c r="E62" i="32"/>
  <c r="L33" i="20" s="1"/>
  <c r="H13" i="51"/>
  <c r="I13" i="51" s="1"/>
  <c r="G27" i="20"/>
  <c r="E221" i="19"/>
  <c r="M27" i="20" s="1"/>
  <c r="E83" i="32"/>
  <c r="L27" i="20" s="1"/>
  <c r="G37" i="20"/>
  <c r="G38" i="20" s="1"/>
  <c r="I39" i="15" l="1"/>
  <c r="I43" i="15" s="1"/>
  <c r="P63" i="13"/>
  <c r="L39" i="15" s="1"/>
  <c r="L43" i="15" s="1"/>
  <c r="L46" i="15" s="1"/>
  <c r="H402" i="19" s="1"/>
  <c r="F46" i="15"/>
  <c r="H371" i="19" s="1"/>
  <c r="H368" i="19"/>
  <c r="F372" i="19"/>
  <c r="F399" i="19"/>
  <c r="J46" i="15"/>
  <c r="F402" i="19" s="1"/>
  <c r="M39" i="15"/>
  <c r="M43" i="15" s="1"/>
  <c r="J368" i="19"/>
  <c r="H46" i="15"/>
  <c r="J371" i="19" s="1"/>
  <c r="K39" i="15"/>
  <c r="K43" i="15" s="1"/>
  <c r="T63" i="13"/>
  <c r="P39" i="15" s="1"/>
  <c r="P43" i="15" s="1"/>
  <c r="P46" i="15" s="1"/>
  <c r="G370" i="19"/>
  <c r="E47" i="15"/>
  <c r="F97" i="56"/>
  <c r="F77" i="56"/>
  <c r="E93" i="56"/>
  <c r="AH44" i="13"/>
  <c r="AK44" i="13" s="1"/>
  <c r="AN44" i="13" s="1"/>
  <c r="E216" i="19"/>
  <c r="E78" i="32"/>
  <c r="H30" i="51"/>
  <c r="G220" i="19"/>
  <c r="F82" i="32"/>
  <c r="F33" i="10"/>
  <c r="D335" i="19"/>
  <c r="F62" i="32"/>
  <c r="H399" i="19" l="1"/>
  <c r="R68" i="13"/>
  <c r="D49" i="10" s="1"/>
  <c r="D45" i="10" s="1"/>
  <c r="E228" i="19" s="1"/>
  <c r="S63" i="13"/>
  <c r="O39" i="15" s="1"/>
  <c r="O43" i="15" s="1"/>
  <c r="F114" i="56" s="1"/>
  <c r="F117" i="56" s="1"/>
  <c r="E399" i="19"/>
  <c r="I46" i="15"/>
  <c r="E402" i="19" s="1"/>
  <c r="M46" i="15"/>
  <c r="I402" i="19" s="1"/>
  <c r="I399" i="19"/>
  <c r="G399" i="19"/>
  <c r="E98" i="32"/>
  <c r="E101" i="32" s="1"/>
  <c r="E102" i="32" s="1"/>
  <c r="F100" i="32" s="1"/>
  <c r="K46" i="15"/>
  <c r="G402" i="19" s="1"/>
  <c r="E114" i="56"/>
  <c r="E117" i="56" s="1"/>
  <c r="E118" i="56" s="1"/>
  <c r="F116" i="56" s="1"/>
  <c r="G372" i="19"/>
  <c r="F45" i="15"/>
  <c r="F93" i="56"/>
  <c r="G97" i="56"/>
  <c r="G216" i="19"/>
  <c r="F78" i="32"/>
  <c r="J30" i="51"/>
  <c r="I220" i="19"/>
  <c r="G82" i="32"/>
  <c r="H33" i="10"/>
  <c r="E105" i="56" l="1"/>
  <c r="AD68" i="13"/>
  <c r="F49" i="10" s="1"/>
  <c r="F45" i="10" s="1"/>
  <c r="F105" i="56" s="1"/>
  <c r="F98" i="32"/>
  <c r="F101" i="32" s="1"/>
  <c r="F102" i="32" s="1"/>
  <c r="G100" i="32" s="1"/>
  <c r="G102" i="32" s="1"/>
  <c r="L39" i="20" s="1"/>
  <c r="O46" i="15"/>
  <c r="AP68" i="13"/>
  <c r="H49" i="10" s="1"/>
  <c r="H45" i="10" s="1"/>
  <c r="G105" i="56" s="1"/>
  <c r="E90" i="32"/>
  <c r="D42" i="10"/>
  <c r="E102" i="56" s="1"/>
  <c r="E138" i="56" s="1"/>
  <c r="F118" i="56"/>
  <c r="G116" i="56" s="1"/>
  <c r="G118" i="56" s="1"/>
  <c r="H370" i="19"/>
  <c r="F47" i="15"/>
  <c r="G93" i="56"/>
  <c r="I216" i="19"/>
  <c r="G78" i="32"/>
  <c r="L30" i="51"/>
  <c r="E225" i="19" l="1"/>
  <c r="D51" i="10"/>
  <c r="E229" i="19" s="1"/>
  <c r="G90" i="32"/>
  <c r="E106" i="56"/>
  <c r="H36" i="51"/>
  <c r="H40" i="51" s="1"/>
  <c r="E87" i="32"/>
  <c r="E121" i="32" s="1"/>
  <c r="H42" i="10"/>
  <c r="I225" i="19" s="1"/>
  <c r="I228" i="19"/>
  <c r="G228" i="19"/>
  <c r="F90" i="32"/>
  <c r="F42" i="10"/>
  <c r="F102" i="56" s="1"/>
  <c r="F138" i="56" s="1"/>
  <c r="E91" i="32"/>
  <c r="H372" i="19"/>
  <c r="G45" i="15"/>
  <c r="H93" i="56"/>
  <c r="H78" i="32"/>
  <c r="H51" i="10" l="1"/>
  <c r="I229" i="19" s="1"/>
  <c r="F87" i="32"/>
  <c r="F91" i="32" s="1"/>
  <c r="F106" i="56"/>
  <c r="L36" i="51"/>
  <c r="L40" i="51" s="1"/>
  <c r="G102" i="56"/>
  <c r="H102" i="56" s="1"/>
  <c r="G87" i="32"/>
  <c r="H87" i="32" s="1"/>
  <c r="F51" i="10"/>
  <c r="G229" i="19" s="1"/>
  <c r="G225" i="19"/>
  <c r="J36" i="51"/>
  <c r="J40" i="51" s="1"/>
  <c r="F121" i="32"/>
  <c r="G47" i="15"/>
  <c r="I370" i="19"/>
  <c r="G91" i="32" l="1"/>
  <c r="H91" i="32" s="1"/>
  <c r="G106" i="56"/>
  <c r="H106" i="56" s="1"/>
  <c r="G121" i="32"/>
  <c r="G138" i="56"/>
  <c r="H45" i="15"/>
  <c r="I372" i="19"/>
  <c r="H47" i="15" l="1"/>
  <c r="J370" i="19"/>
  <c r="J372" i="19" l="1"/>
  <c r="I45" i="15"/>
  <c r="E401" i="19" l="1"/>
  <c r="I47" i="15"/>
  <c r="E403" i="19" l="1"/>
  <c r="J45" i="15"/>
  <c r="F401" i="19" l="1"/>
  <c r="J47" i="15"/>
  <c r="F403" i="19" l="1"/>
  <c r="K45" i="15"/>
  <c r="G401" i="19" l="1"/>
  <c r="K47" i="15"/>
  <c r="G403" i="19" l="1"/>
  <c r="L45" i="15"/>
  <c r="H401" i="19" l="1"/>
  <c r="L47" i="15"/>
  <c r="H403" i="19" l="1"/>
  <c r="M45" i="15"/>
  <c r="I401" i="19" l="1"/>
  <c r="M47" i="15"/>
  <c r="I403" i="19" l="1"/>
  <c r="N45" i="15"/>
  <c r="N47" i="15" l="1"/>
  <c r="J401" i="19"/>
  <c r="N1" i="7" l="1"/>
  <c r="J403" i="19"/>
  <c r="M39" i="20" s="1"/>
  <c r="O45" i="15"/>
  <c r="O47" i="15" s="1"/>
  <c r="P45" i="15" s="1"/>
  <c r="P47" i="15" s="1"/>
  <c r="Q45" i="15" s="1"/>
  <c r="Q47" i="15" s="1"/>
  <c r="R45" i="15" s="1"/>
  <c r="R47" i="15" s="1"/>
  <c r="S45" i="15" s="1"/>
  <c r="S47" i="15" s="1"/>
  <c r="T45" i="15" s="1"/>
  <c r="T47" i="15" s="1"/>
  <c r="U45" i="15" s="1"/>
  <c r="U47" i="15" s="1"/>
  <c r="V45" i="15" s="1"/>
  <c r="V47" i="15" s="1"/>
  <c r="W45" i="15" s="1"/>
  <c r="W47" i="15" s="1"/>
  <c r="X45" i="15" s="1"/>
  <c r="X47" i="15" s="1"/>
  <c r="Y45" i="15" s="1"/>
  <c r="Y47" i="15" s="1"/>
  <c r="Z45" i="15" s="1"/>
  <c r="Z47" i="15" s="1"/>
  <c r="T1" i="22"/>
  <c r="G39" i="20"/>
  <c r="D29" i="10"/>
  <c r="N1" i="8"/>
  <c r="I2" i="3"/>
  <c r="C133" i="32" s="1"/>
  <c r="C150" i="56" s="1"/>
  <c r="G11" i="20"/>
  <c r="M1" i="41"/>
  <c r="I39" i="20" l="1"/>
  <c r="F29" i="10"/>
  <c r="AA45" i="15"/>
  <c r="AA47" i="15" s="1"/>
  <c r="AB45" i="15" s="1"/>
  <c r="AB47" i="15" s="1"/>
  <c r="AC45" i="15" s="1"/>
  <c r="AC47" i="15" s="1"/>
  <c r="AD45" i="15" s="1"/>
  <c r="AD47" i="15" s="1"/>
  <c r="AE45" i="15" s="1"/>
  <c r="AE47" i="15" s="1"/>
  <c r="AF45" i="15" s="1"/>
  <c r="AF47" i="15" s="1"/>
  <c r="AG45" i="15" s="1"/>
  <c r="AG47" i="15" s="1"/>
  <c r="AH45" i="15" s="1"/>
  <c r="AH47" i="15" s="1"/>
  <c r="AI45" i="15" s="1"/>
  <c r="AI47" i="15" s="1"/>
  <c r="AJ45" i="15" s="1"/>
  <c r="AJ47" i="15" s="1"/>
  <c r="AK45" i="15" s="1"/>
  <c r="AK47" i="15" s="1"/>
  <c r="AL45" i="15" s="1"/>
  <c r="AL47" i="15" s="1"/>
  <c r="E212" i="19"/>
  <c r="M29" i="20" s="1"/>
  <c r="M40" i="20" s="1"/>
  <c r="E75" i="32"/>
  <c r="G29" i="20"/>
  <c r="G40" i="20" s="1"/>
  <c r="D22" i="10"/>
  <c r="E90" i="56"/>
  <c r="G212" i="19" l="1"/>
  <c r="F75" i="32"/>
  <c r="I29" i="20"/>
  <c r="I40" i="20" s="1"/>
  <c r="F90" i="56"/>
  <c r="F22" i="10"/>
  <c r="E209" i="19"/>
  <c r="E72" i="32"/>
  <c r="E120" i="32" s="1"/>
  <c r="E87" i="56"/>
  <c r="E137" i="56" s="1"/>
  <c r="D30" i="10"/>
  <c r="H24" i="51"/>
  <c r="H29" i="10"/>
  <c r="J39" i="20"/>
  <c r="E22" i="10" l="1"/>
  <c r="F209" i="19" s="1"/>
  <c r="D52" i="10"/>
  <c r="G75" i="32"/>
  <c r="L29" i="20" s="1"/>
  <c r="L40" i="20" s="1"/>
  <c r="I212" i="19"/>
  <c r="G90" i="56"/>
  <c r="J29" i="20"/>
  <c r="J40" i="20" s="1"/>
  <c r="H22" i="10"/>
  <c r="H28" i="51"/>
  <c r="I24" i="51" s="1"/>
  <c r="E33" i="10"/>
  <c r="F216" i="19" s="1"/>
  <c r="G25" i="20"/>
  <c r="G23" i="20" s="1"/>
  <c r="E213" i="19"/>
  <c r="E51" i="10"/>
  <c r="F229" i="19" s="1"/>
  <c r="E30" i="10"/>
  <c r="F213" i="19" s="1"/>
  <c r="E76" i="32"/>
  <c r="E3" i="10"/>
  <c r="F205" i="19" s="1"/>
  <c r="E42" i="10"/>
  <c r="E91" i="56"/>
  <c r="E40" i="10"/>
  <c r="F223" i="19" s="1"/>
  <c r="J24" i="51"/>
  <c r="F87" i="56"/>
  <c r="F137" i="56" s="1"/>
  <c r="G209" i="19"/>
  <c r="F72" i="32"/>
  <c r="F120" i="32" s="1"/>
  <c r="F30" i="10"/>
  <c r="G22" i="10" l="1"/>
  <c r="H209" i="19" s="1"/>
  <c r="F52" i="10"/>
  <c r="G42" i="10"/>
  <c r="G30" i="10"/>
  <c r="H213" i="19" s="1"/>
  <c r="G33" i="10"/>
  <c r="H216" i="19" s="1"/>
  <c r="F91" i="56"/>
  <c r="F76" i="32"/>
  <c r="I25" i="20"/>
  <c r="I23" i="20" s="1"/>
  <c r="G51" i="10"/>
  <c r="H229" i="19" s="1"/>
  <c r="G40" i="10"/>
  <c r="H223" i="19" s="1"/>
  <c r="G3" i="10"/>
  <c r="H205" i="19" s="1"/>
  <c r="G213" i="19"/>
  <c r="J28" i="51"/>
  <c r="K24" i="51" s="1"/>
  <c r="H41" i="51"/>
  <c r="I28" i="51"/>
  <c r="I40" i="51"/>
  <c r="I18" i="51"/>
  <c r="I30" i="51"/>
  <c r="I36" i="51"/>
  <c r="I34" i="51"/>
  <c r="I209" i="19"/>
  <c r="G72" i="32"/>
  <c r="G87" i="56"/>
  <c r="L24" i="51"/>
  <c r="H30" i="10"/>
  <c r="H52" i="10" s="1"/>
  <c r="I22" i="10" l="1"/>
  <c r="J209" i="19" s="1"/>
  <c r="G91" i="56"/>
  <c r="H91" i="56" s="1"/>
  <c r="I213" i="19"/>
  <c r="I30" i="10"/>
  <c r="J213" i="19" s="1"/>
  <c r="I51" i="10"/>
  <c r="J229" i="19" s="1"/>
  <c r="I40" i="10"/>
  <c r="J223" i="19" s="1"/>
  <c r="I33" i="10"/>
  <c r="J216" i="19" s="1"/>
  <c r="J25" i="20"/>
  <c r="I3" i="10"/>
  <c r="J205" i="19" s="1"/>
  <c r="I42" i="10"/>
  <c r="G76" i="32"/>
  <c r="H76" i="32" s="1"/>
  <c r="J41" i="51"/>
  <c r="K34" i="51"/>
  <c r="K28" i="51"/>
  <c r="K36" i="51"/>
  <c r="K30" i="51"/>
  <c r="K18" i="51"/>
  <c r="K40" i="51"/>
  <c r="L28" i="51"/>
  <c r="M24" i="51" s="1"/>
  <c r="G137" i="56"/>
  <c r="H87" i="56"/>
  <c r="H72" i="32"/>
  <c r="G120" i="32"/>
  <c r="M25" i="20" l="1"/>
  <c r="M23" i="20" s="1"/>
  <c r="L25" i="20"/>
  <c r="L23" i="20" s="1"/>
  <c r="J23" i="20"/>
  <c r="L41" i="51"/>
  <c r="M28" i="51"/>
  <c r="M18" i="51"/>
  <c r="M40" i="51"/>
  <c r="M30" i="51"/>
  <c r="M34" i="51"/>
  <c r="M36" i="51"/>
  <c r="N40" i="20" l="1"/>
  <c r="G13" i="20" s="1"/>
</calcChain>
</file>

<file path=xl/sharedStrings.xml><?xml version="1.0" encoding="utf-8"?>
<sst xmlns="http://schemas.openxmlformats.org/spreadsheetml/2006/main" count="2379" uniqueCount="1276">
  <si>
    <t>Nombre empresa:</t>
  </si>
  <si>
    <t>Promotor:</t>
  </si>
  <si>
    <t>Cuenta</t>
  </si>
  <si>
    <t>Fianzas</t>
  </si>
  <si>
    <t>Equipos procesos información</t>
  </si>
  <si>
    <t>TOTAL</t>
  </si>
  <si>
    <t>Aportación socios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</si>
  <si>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</si>
  <si>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</si>
  <si>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</si>
  <si>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</si>
  <si>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</si>
  <si>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</si>
  <si>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</si>
  <si>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</si>
  <si>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</si>
  <si>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</si>
  <si>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</si>
  <si>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</si>
  <si>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MES</t>
  </si>
  <si>
    <t>Descripción</t>
  </si>
  <si>
    <t>Importe</t>
  </si>
  <si>
    <t>Base €</t>
  </si>
  <si>
    <t>IVA €</t>
  </si>
  <si>
    <t>Patentes y marcas</t>
  </si>
  <si>
    <t>Derechos de traspaso</t>
  </si>
  <si>
    <t>Aplicaciones informáticas</t>
  </si>
  <si>
    <t>Terrenos</t>
  </si>
  <si>
    <t>Construcciones</t>
  </si>
  <si>
    <t>Maquinaria</t>
  </si>
  <si>
    <t>Otras instalaciones</t>
  </si>
  <si>
    <t>Mobiliario</t>
  </si>
  <si>
    <t>Elementos de transporte</t>
  </si>
  <si>
    <t>Otro inmovilizado material</t>
  </si>
  <si>
    <t>Amortización acumulada</t>
  </si>
  <si>
    <t>Existencias</t>
  </si>
  <si>
    <t>INVERSIONES</t>
  </si>
  <si>
    <t>% AMORT.</t>
  </si>
  <si>
    <t>Capital</t>
  </si>
  <si>
    <t>Reservas</t>
  </si>
  <si>
    <t>Capitalización paro</t>
  </si>
  <si>
    <t>Subvenciones</t>
  </si>
  <si>
    <t>FINANCIACIÓN</t>
  </si>
  <si>
    <t>Tipo interés</t>
  </si>
  <si>
    <t>Cuota</t>
  </si>
  <si>
    <t>TESORERÍA INICIAL</t>
  </si>
  <si>
    <t xml:space="preserve"> </t>
  </si>
  <si>
    <t>Años</t>
  </si>
  <si>
    <t>Carencia años</t>
  </si>
  <si>
    <t>CAPITAL</t>
  </si>
  <si>
    <t>TIPO INTERÉS</t>
  </si>
  <si>
    <t>DURACIÓN AÑOS</t>
  </si>
  <si>
    <t>CARENCIA AÑOS</t>
  </si>
  <si>
    <t>PERIODICIDAD</t>
  </si>
  <si>
    <t>MENSUAL</t>
  </si>
  <si>
    <t>CUOTA</t>
  </si>
  <si>
    <t>RESERVA</t>
  </si>
  <si>
    <t>INTERÈS</t>
  </si>
  <si>
    <t>INT. ACUM.</t>
  </si>
  <si>
    <t>AMORTITZ.</t>
  </si>
  <si>
    <t>AMORT. ACUM.</t>
  </si>
  <si>
    <t>TERMES ACUM.</t>
  </si>
  <si>
    <t>N</t>
  </si>
  <si>
    <t>TOTALES</t>
  </si>
  <si>
    <t>PRÉSTAMO</t>
  </si>
  <si>
    <t>Préstamo</t>
  </si>
  <si>
    <t>FINANCIACIÓN INICIAL</t>
  </si>
  <si>
    <t>INVERSIÓN INICIAL</t>
  </si>
  <si>
    <t xml:space="preserve">Productos/servicios </t>
  </si>
  <si>
    <t>Catálogo productos/servicios por familias</t>
  </si>
  <si>
    <t>% IVA</t>
  </si>
  <si>
    <t>Margen</t>
  </si>
  <si>
    <t>€</t>
  </si>
  <si>
    <t>%</t>
  </si>
  <si>
    <t>Plazo cobro</t>
  </si>
  <si>
    <t>Plazo de cobro</t>
  </si>
  <si>
    <r>
      <t>Precio venta unitario</t>
    </r>
    <r>
      <rPr>
        <b/>
        <sz val="9"/>
        <color theme="0"/>
        <rFont val="Calibri"/>
        <family val="2"/>
        <scheme val="minor"/>
      </rPr>
      <t xml:space="preserve"> sin IVA</t>
    </r>
  </si>
  <si>
    <t>Gastos fijos (sin IVA)</t>
  </si>
  <si>
    <t>Coste</t>
  </si>
  <si>
    <t>Plazo pago</t>
  </si>
  <si>
    <t>VENTAS</t>
  </si>
  <si>
    <t>Periodo cobro</t>
  </si>
  <si>
    <t>Total Ventas</t>
  </si>
  <si>
    <t>Total IVA Ventas</t>
  </si>
  <si>
    <t>Total Cobro IVA Ventas</t>
  </si>
  <si>
    <t>COMPRAS</t>
  </si>
  <si>
    <t>Periodo pago</t>
  </si>
  <si>
    <t>Total Compras</t>
  </si>
  <si>
    <t>Total IVA Compras</t>
  </si>
  <si>
    <t>RESTO GASTOS VARIABLES (PAGO CONTADO)</t>
  </si>
  <si>
    <t>Ventas € AÑO 1</t>
  </si>
  <si>
    <t>Ventas € AÑO 2</t>
  </si>
  <si>
    <t>Ventas € AÑO 3</t>
  </si>
  <si>
    <t>Otros costes variables</t>
  </si>
  <si>
    <t>% coste compra</t>
  </si>
  <si>
    <t>% coste variable</t>
  </si>
  <si>
    <t>BALANCE INICIAL</t>
  </si>
  <si>
    <t>BALANCE AÑO 1</t>
  </si>
  <si>
    <t>BALANCE AÑO 2</t>
  </si>
  <si>
    <t>BALANCE AÑO 3</t>
  </si>
  <si>
    <t>ACTIVO</t>
  </si>
  <si>
    <t>ACTIVO NO CORRIENTE</t>
  </si>
  <si>
    <t>Inmovilizado intangible</t>
  </si>
  <si>
    <t>Amortización acumulada intangible</t>
  </si>
  <si>
    <t>Inmovilizado tangible</t>
  </si>
  <si>
    <t>Amortización acumulada tangible</t>
  </si>
  <si>
    <t>Inversiones financieras</t>
  </si>
  <si>
    <t>ACTIVO CORRIENTE</t>
  </si>
  <si>
    <t>Deudores</t>
  </si>
  <si>
    <t>Clientes</t>
  </si>
  <si>
    <t>Hda. Pública Deudora</t>
  </si>
  <si>
    <t>Tesorería</t>
  </si>
  <si>
    <t>TOTAL ACTIVO</t>
  </si>
  <si>
    <t>PATRIMONIO NETO Y PASIVO</t>
  </si>
  <si>
    <t>PATRIMONIO NETO</t>
  </si>
  <si>
    <t>Resultados</t>
  </si>
  <si>
    <t>PASIVO NO CORRIENTE</t>
  </si>
  <si>
    <t>PASIVO CORRIENTE</t>
  </si>
  <si>
    <t>Proveedores</t>
  </si>
  <si>
    <t>TOTAL P.N. Y PASIVO</t>
  </si>
  <si>
    <t>Ventas</t>
  </si>
  <si>
    <t>AÑO 1</t>
  </si>
  <si>
    <t>AÑO 2</t>
  </si>
  <si>
    <t>AÑO 3</t>
  </si>
  <si>
    <t>Compras</t>
  </si>
  <si>
    <t>Margen bruto</t>
  </si>
  <si>
    <t>Otros costes fijos</t>
  </si>
  <si>
    <t>Amortización</t>
  </si>
  <si>
    <t>Gastos financieros</t>
  </si>
  <si>
    <t>Sueldos y salarios</t>
  </si>
  <si>
    <t>Seguridad social</t>
  </si>
  <si>
    <t>Alquiler</t>
  </si>
  <si>
    <t>Resto gastos variables</t>
  </si>
  <si>
    <t>Amortizaciones</t>
  </si>
  <si>
    <t>Total inicial</t>
  </si>
  <si>
    <t>Inversiones € AÑO 1</t>
  </si>
  <si>
    <t>Inversión € AÑO 2</t>
  </si>
  <si>
    <t>Inversión € AÑO 3</t>
  </si>
  <si>
    <t>Financiación € AÑO 1</t>
  </si>
  <si>
    <t>Financiación € AÑO 2</t>
  </si>
  <si>
    <t>Financiación € AÑO 3</t>
  </si>
  <si>
    <t>IRPF</t>
  </si>
  <si>
    <t>Tipo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</si>
  <si>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</si>
  <si>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</si>
  <si>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</si>
  <si>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</si>
  <si>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</si>
  <si>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</si>
  <si>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</si>
  <si>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</si>
  <si>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MES 9</t>
  </si>
  <si>
    <t>MES 10</t>
  </si>
  <si>
    <t>MES 11</t>
  </si>
  <si>
    <t>MES 12</t>
  </si>
  <si>
    <t>MES 13</t>
  </si>
  <si>
    <t>MES 14</t>
  </si>
  <si>
    <t>MES 15</t>
  </si>
  <si>
    <t>MES 16</t>
  </si>
  <si>
    <t>MES 17</t>
  </si>
  <si>
    <t>MES 18</t>
  </si>
  <si>
    <t>MES 19</t>
  </si>
  <si>
    <t>MES 20</t>
  </si>
  <si>
    <t>MES 21</t>
  </si>
  <si>
    <t>MES 22</t>
  </si>
  <si>
    <t>MES 23</t>
  </si>
  <si>
    <t>MES 24</t>
  </si>
  <si>
    <t>MES 25</t>
  </si>
  <si>
    <t>MES 26</t>
  </si>
  <si>
    <t>MES 27</t>
  </si>
  <si>
    <t>MES 28</t>
  </si>
  <si>
    <t>MES 29</t>
  </si>
  <si>
    <t>MES 30</t>
  </si>
  <si>
    <t>MES 31</t>
  </si>
  <si>
    <t>MES 32</t>
  </si>
  <si>
    <t>MES 33</t>
  </si>
  <si>
    <t>MES 34</t>
  </si>
  <si>
    <t>MES 35</t>
  </si>
  <si>
    <t>MES 36</t>
  </si>
  <si>
    <t>Trabajadores</t>
  </si>
  <si>
    <t>Pago Trabajadores</t>
  </si>
  <si>
    <t>Pago IRPF Alquiler</t>
  </si>
  <si>
    <t>IVA</t>
  </si>
  <si>
    <t>IVA repercutido ventas</t>
  </si>
  <si>
    <t>IVA soportado compras</t>
  </si>
  <si>
    <t>IVA soportados gastos variables</t>
  </si>
  <si>
    <t>IVA soportado gastos</t>
  </si>
  <si>
    <t>IVA Inversiones</t>
  </si>
  <si>
    <t>Total IVA</t>
  </si>
  <si>
    <t>Resultado acumulado IVA</t>
  </si>
  <si>
    <t>Pago IVA</t>
  </si>
  <si>
    <t>MARGEN BRUTO</t>
  </si>
  <si>
    <t>Provisiones</t>
  </si>
  <si>
    <t>TOTAL GASTOS DE EXPLOTACIÓN</t>
  </si>
  <si>
    <t>RESULTADO DE EXPLOTACIÓN</t>
  </si>
  <si>
    <t>Intereses préstamos</t>
  </si>
  <si>
    <t>RESULTADOS ANTES IMPUESTOS</t>
  </si>
  <si>
    <t>RESULTADO ACUMULADO</t>
  </si>
  <si>
    <t>COMPRA INMOVILIZADO</t>
  </si>
  <si>
    <t>Total Compra Inmovilizado</t>
  </si>
  <si>
    <t>ACUMULADO</t>
  </si>
  <si>
    <t>Total Acumulado Inmovilizado</t>
  </si>
  <si>
    <t>INMOVILIZADO</t>
  </si>
  <si>
    <t>% Amortización</t>
  </si>
  <si>
    <t>Total Amortización Inmovilizado</t>
  </si>
  <si>
    <t>Financiación / Aportación socios</t>
  </si>
  <si>
    <t>Devolución préstamos</t>
  </si>
  <si>
    <t>IRPF Alquileres</t>
  </si>
  <si>
    <t>Inversiones / Stock inicial</t>
  </si>
  <si>
    <t>TOTAL PAGOS</t>
  </si>
  <si>
    <t>SALDO INICIAL</t>
  </si>
  <si>
    <t>COBROS - PAGOS</t>
  </si>
  <si>
    <t>SALDO FINAL</t>
  </si>
  <si>
    <t>21%</t>
  </si>
  <si>
    <t>TOTAL 3 AÑOS</t>
  </si>
  <si>
    <t>Resultado antes impuestos</t>
  </si>
  <si>
    <t>% IVA Gtos. Var.</t>
  </si>
  <si>
    <t>IVA GASTOS VARIABLES (PAGO CONTADO)</t>
  </si>
  <si>
    <t>Total Cobros</t>
  </si>
  <si>
    <t>INTERESES</t>
  </si>
  <si>
    <t>AMORTIZACIÓN</t>
  </si>
  <si>
    <t>DEUDA PENDIENTE</t>
  </si>
  <si>
    <t>DEUDA LARGO</t>
  </si>
  <si>
    <t>DEUDA CORTO</t>
  </si>
  <si>
    <t>Préstamo corto plazo</t>
  </si>
  <si>
    <t>diferencia ventas - cobro</t>
  </si>
  <si>
    <t>TOTAL IVA REPERCUTIDO</t>
  </si>
  <si>
    <t>TOTAL IVA SOPORTADO</t>
  </si>
  <si>
    <t>TOTAL PAGADO</t>
  </si>
  <si>
    <t>Seguridad Social</t>
  </si>
  <si>
    <t xml:space="preserve">SALDO IRPF </t>
  </si>
  <si>
    <t>TOTAL PAGADO IRPF</t>
  </si>
  <si>
    <t>SALDO HDA. IRPF</t>
  </si>
  <si>
    <t>Hda. Pública Acreedora IVA</t>
  </si>
  <si>
    <t>Hda. Pública Acreedora IRPF</t>
  </si>
  <si>
    <t>Acreedores / Hda. Pública</t>
  </si>
  <si>
    <t>GASTOS PERSONAL</t>
  </si>
  <si>
    <t>Retención</t>
  </si>
  <si>
    <t>-</t>
  </si>
  <si>
    <t>SEGURIDAD SOCIAL</t>
  </si>
  <si>
    <t>% coste</t>
  </si>
  <si>
    <t xml:space="preserve">Salario Bruto </t>
  </si>
  <si>
    <t>Ventas:</t>
  </si>
  <si>
    <t>Rtdo:</t>
  </si>
  <si>
    <t>Margen:</t>
  </si>
  <si>
    <t>P.e.</t>
  </si>
  <si>
    <t>Tesor.Min.</t>
  </si>
  <si>
    <t>Impuestos</t>
  </si>
  <si>
    <t>Resultado después impuestos</t>
  </si>
  <si>
    <t xml:space="preserve">  </t>
  </si>
  <si>
    <t>Punto de equilibrio</t>
  </si>
  <si>
    <r>
      <t>PROMOTOR:</t>
    </r>
    <r>
      <rPr>
        <sz val="16"/>
        <color theme="1"/>
        <rFont val="Verdana"/>
        <family val="2"/>
      </rPr>
      <t/>
    </r>
  </si>
  <si>
    <t>Forma jurídica</t>
  </si>
  <si>
    <t>Descripción Actividad/es</t>
  </si>
  <si>
    <t>Promotores y directivos. 
Nombre</t>
  </si>
  <si>
    <t>DNI</t>
  </si>
  <si>
    <t xml:space="preserve"> Administrador / Cargo</t>
  </si>
  <si>
    <t>% CAP.</t>
  </si>
  <si>
    <t>Edad</t>
  </si>
  <si>
    <t>Formación</t>
  </si>
  <si>
    <t>Experiencia sector</t>
  </si>
  <si>
    <t>Situación Laboral</t>
  </si>
  <si>
    <t>Lugar de residencia</t>
  </si>
  <si>
    <t>Número de puestos de trabajo</t>
  </si>
  <si>
    <t>Cornellà de Llob.</t>
  </si>
  <si>
    <t>Baix Llob.</t>
  </si>
  <si>
    <t>Fuera</t>
  </si>
  <si>
    <t>Total</t>
  </si>
  <si>
    <t>Promotores</t>
  </si>
  <si>
    <t>Contratados Régimen General</t>
  </si>
  <si>
    <t>Subcontrataciones externas</t>
  </si>
  <si>
    <t>Ha/n creado una empresa con anterioridad</t>
  </si>
  <si>
    <t>Vinculación cohesión entre los socios</t>
  </si>
  <si>
    <t>Clientes objetivos</t>
  </si>
  <si>
    <t>Estrategia comercial: Relación con los clientes / Plan de comunicación</t>
  </si>
  <si>
    <t>Canales de distribución</t>
  </si>
  <si>
    <t>Situación del sector</t>
  </si>
  <si>
    <t>NO</t>
  </si>
  <si>
    <r>
      <t xml:space="preserve">UBICACIÓN EMPRESA: </t>
    </r>
    <r>
      <rPr>
        <sz val="14"/>
        <color theme="1"/>
        <rFont val="Verdana"/>
        <family val="2"/>
      </rPr>
      <t/>
    </r>
  </si>
  <si>
    <t xml:space="preserve">FORMA JURÍDICA: </t>
  </si>
  <si>
    <t>Empresario Individual</t>
  </si>
  <si>
    <t>S.L.</t>
  </si>
  <si>
    <t>S.A.</t>
  </si>
  <si>
    <t>S.L.L.</t>
  </si>
  <si>
    <t xml:space="preserve">FECHA INICIO PREVISTO: </t>
  </si>
  <si>
    <t>Índice</t>
  </si>
  <si>
    <t>1. Presentación</t>
  </si>
  <si>
    <t>2. Marketing</t>
  </si>
  <si>
    <t>3. Producción y calidad</t>
  </si>
  <si>
    <t>4. Organización y gestión</t>
  </si>
  <si>
    <t>5. Jurídico fiscal</t>
  </si>
  <si>
    <t>6. Económico-financiera</t>
  </si>
  <si>
    <t>7. Valoración</t>
  </si>
  <si>
    <t>1.1. Definición del negocio</t>
  </si>
  <si>
    <t>1.2. Equipo promotor</t>
  </si>
  <si>
    <t>2.1. Producto o servicio</t>
  </si>
  <si>
    <t>2.2. Mercado</t>
  </si>
  <si>
    <t>2.3. Competencia</t>
  </si>
  <si>
    <t>2.6. Promoción</t>
  </si>
  <si>
    <t>2.7. Previsiones de ventas</t>
  </si>
  <si>
    <t>3.1. Producción/Prestación de servicios</t>
  </si>
  <si>
    <t>4.1. Organización</t>
  </si>
  <si>
    <t>5.1. Forma jurídica y trámites</t>
  </si>
  <si>
    <t>5.2. Obligaciones periódicas fiscales y laborales</t>
  </si>
  <si>
    <t>7.1. Puntos fuertes y débiles, oportunidades y amenazas externas</t>
  </si>
  <si>
    <t>6.1. Balance situación 3 primeros años</t>
  </si>
  <si>
    <t>6.2. Resultados por líneas de actividad</t>
  </si>
  <si>
    <t>6.3. Resultados mensuales</t>
  </si>
  <si>
    <t>6.4. Resultados y punto equilibrio 3 primeros años</t>
  </si>
  <si>
    <t>6.5. Previsión tesorería mensual</t>
  </si>
  <si>
    <t>Justificación de las ventas</t>
  </si>
  <si>
    <t>Coste compra</t>
  </si>
  <si>
    <t>Prec.venta un.</t>
  </si>
  <si>
    <t>Los productos comercializados, precios medios de venta, costes, márgenes, plazos medios de cobro y pago son los siguientes:</t>
  </si>
  <si>
    <t>2.4. Propuesta de valor</t>
  </si>
  <si>
    <t>2.5. Canales de distribución</t>
  </si>
  <si>
    <t>La estimación de ventas mensuales para los tres primeros años de actividad són:</t>
  </si>
  <si>
    <t>La inversión necesaria para realizar la actividad es:</t>
  </si>
  <si>
    <t>Otras</t>
  </si>
  <si>
    <t>Producción / Prestación del servicio</t>
  </si>
  <si>
    <t>Normativa</t>
  </si>
  <si>
    <t>3.3. Normativa</t>
  </si>
  <si>
    <t>4.2. Retribuciones</t>
  </si>
  <si>
    <t>Nombre</t>
  </si>
  <si>
    <t>4.2. Retribución</t>
  </si>
  <si>
    <t>Resto</t>
  </si>
  <si>
    <t>Salario bruto</t>
  </si>
  <si>
    <t>Hda. Pública Impto.Sdades.</t>
  </si>
  <si>
    <t>Puntos fuertes y débiles, oportunidades y amenazas externas</t>
  </si>
  <si>
    <t>IRPF Promotor + Trabajadores</t>
  </si>
  <si>
    <t>Código</t>
  </si>
  <si>
    <t>Fecha inicio según Plan Financiero</t>
  </si>
  <si>
    <t xml:space="preserve">Alianzas y subcontratación </t>
  </si>
  <si>
    <t>Mercado potencial cuantificado</t>
  </si>
  <si>
    <t xml:space="preserve">Cuota de mercado objetivo </t>
  </si>
  <si>
    <t>SALDO HDA PÚBLICA IVA FINAL AÑO</t>
  </si>
  <si>
    <t>Salario pendiente cobro</t>
  </si>
  <si>
    <r>
      <t>NIF:</t>
    </r>
    <r>
      <rPr>
        <sz val="12"/>
        <color theme="1"/>
        <rFont val="Verdana"/>
        <family val="2"/>
      </rPr>
      <t xml:space="preserve"> </t>
    </r>
  </si>
  <si>
    <r>
      <t> </t>
    </r>
    <r>
      <rPr>
        <b/>
        <sz val="12"/>
        <color theme="1"/>
        <rFont val="Verdana"/>
        <family val="2"/>
      </rPr>
      <t>ASESORADO POR:</t>
    </r>
  </si>
  <si>
    <t>Var. Vtas.</t>
  </si>
  <si>
    <t>Competencia</t>
  </si>
  <si>
    <t>SI</t>
  </si>
  <si>
    <t>CUENTA DE RESULTADOS</t>
  </si>
  <si>
    <t>RESULTADOS MENSUALES</t>
  </si>
  <si>
    <t>RESULTADOS S/BALANCE</t>
  </si>
  <si>
    <t>TESORERÍA</t>
  </si>
  <si>
    <t>IMPUESTOS</t>
  </si>
  <si>
    <t>TESORERÍA SEGÚN BALANCE</t>
  </si>
  <si>
    <t>VALIDACIÓN RESULTADOS</t>
  </si>
  <si>
    <t xml:space="preserve">Fecha alta censal </t>
  </si>
  <si>
    <t>Actividad/es</t>
  </si>
  <si>
    <t>Cargo</t>
  </si>
  <si>
    <t>Razonabilidad de las ventas</t>
  </si>
  <si>
    <t>BALANCE DE SITUACIÓN</t>
  </si>
  <si>
    <t>Mix</t>
  </si>
  <si>
    <t>Líneas de actividad</t>
  </si>
  <si>
    <t>PN Y PASIVO</t>
  </si>
  <si>
    <t>Otros gastos fijos</t>
  </si>
  <si>
    <t xml:space="preserve">DIF. BALANCE </t>
  </si>
  <si>
    <t>El local tiene retención IRPF</t>
  </si>
  <si>
    <t>Ventaja competitiva</t>
  </si>
  <si>
    <t>Fecha inicio Plan Viabil.</t>
  </si>
  <si>
    <t>Adm</t>
  </si>
  <si>
    <t>Gastos variables</t>
  </si>
  <si>
    <t>Gastos personal</t>
  </si>
  <si>
    <t>RESULTADOS</t>
  </si>
  <si>
    <t>INICIO PRÉSTAMO</t>
  </si>
  <si>
    <t>Préstamo posterior</t>
  </si>
  <si>
    <t>Total años</t>
  </si>
  <si>
    <t>Total € inicial</t>
  </si>
  <si>
    <t>Mes 2 a 36</t>
  </si>
  <si>
    <t>Res.ejecutivo</t>
  </si>
  <si>
    <t>Plan empresa</t>
  </si>
  <si>
    <t>% Margen bruto</t>
  </si>
  <si>
    <t>Explicación de cómo se financia la inversión inicial</t>
  </si>
  <si>
    <t>Módulos</t>
  </si>
  <si>
    <t>Dirección</t>
  </si>
  <si>
    <t>3.2. Equipos, inversiones necesarios y financiación</t>
  </si>
  <si>
    <t>Ver Curriculum Vitae en Anexo 1</t>
  </si>
  <si>
    <t>Inmovilizado inmaterial</t>
  </si>
  <si>
    <t>Pago Año 3</t>
  </si>
  <si>
    <t>Pago Año 2</t>
  </si>
  <si>
    <t>Per.AÑO 2</t>
  </si>
  <si>
    <t>% Var.</t>
  </si>
  <si>
    <t>A VALORAR</t>
  </si>
  <si>
    <t xml:space="preserve">Detalle ventas </t>
  </si>
  <si>
    <t>Web</t>
  </si>
  <si>
    <t>LTV (Live Time Value):</t>
  </si>
  <si>
    <t>EBITDA</t>
  </si>
  <si>
    <t>Variables</t>
  </si>
  <si>
    <t>Observacions</t>
  </si>
  <si>
    <t xml:space="preserve">1. Major perfil emprenedor del promotor                                                  </t>
  </si>
  <si>
    <t xml:space="preserve">2. Majors perspectives de creació d’ocupació en un any                           </t>
  </si>
  <si>
    <t xml:space="preserve">3. Millor raonament de la previsió de vendes                                              </t>
  </si>
  <si>
    <t xml:space="preserve">4. Menor grau d’endeutament                                                                    </t>
  </si>
  <si>
    <t xml:space="preserve">5. Major grau d’innovació amb relació al sector                                          </t>
  </si>
  <si>
    <t>6. Major grau de cohesió entre els promotors o socis</t>
  </si>
  <si>
    <t xml:space="preserve">7. Major idoneïtat en relació empreses allotjades i Municipi            </t>
  </si>
  <si>
    <t>Total puntuación</t>
  </si>
  <si>
    <t>La puntuació màxima a obtenir per part d’un promotor o empresa serà de 20 punts. En cas que hi hagi dos o més sol·licitants que compleixin la resta de requisits indicats anteriorment i que estiguin interessats en un mateix espai, s’adjudicarà a aquell qui obtingui una puntuació superior. No obstant això, per a poder accedir a qualsevol espai s’haurà de superar una puntuació mínima de 10 punts i no comptar amb 0 punts al criteri “Major idoneïtat de l’activitat en relació amb empreses allotjades i municipi”.</t>
  </si>
  <si>
    <t>Criteris de puntuació</t>
  </si>
  <si>
    <t>Comentaris</t>
  </si>
  <si>
    <t>Sense formació adequada ni experiència</t>
  </si>
  <si>
    <t>Formació adequada o experiència al sector</t>
  </si>
  <si>
    <t>Formació adequada experiència al sector</t>
  </si>
  <si>
    <t>El perfil emprenedor valora la capacitació del promotor per a portar a terme el projecte empresarial tenint en compte la seva formació i experiència relacionada amb l’activitat a desenvolupar.</t>
  </si>
  <si>
    <t>Cap lloc de treball</t>
  </si>
  <si>
    <t>1 lloc de treball</t>
  </si>
  <si>
    <t>2 llocs de treball</t>
  </si>
  <si>
    <t>3 llocs de treball</t>
  </si>
  <si>
    <t>4 ó més llocs de treball</t>
  </si>
  <si>
    <t xml:space="preserve">Les perspectives de creació d’ocupació en un any valoren, en nombres absoluts, la creació d’ocupació al territori .                         </t>
  </si>
  <si>
    <t>Previsió de vendes no raonada</t>
  </si>
  <si>
    <t>Previsió de vendes raonada basada en estimacions</t>
  </si>
  <si>
    <t xml:space="preserve">Previsió de vendes raonada basada en estudis i informacions </t>
  </si>
  <si>
    <t>Previsió de vendes raonada basada en estudis i experiències reals</t>
  </si>
  <si>
    <t xml:space="preserve">El grau de raonament de la previsió de vendes valora la solidesa de les  bases  per les quals el projecte empresarial és viable o no.  </t>
  </si>
  <si>
    <t>Superior al 40%</t>
  </si>
  <si>
    <t>Entre el 0% i el 40%</t>
  </si>
  <si>
    <t>Nul endeutament</t>
  </si>
  <si>
    <t>El grau d’endeutament ve definit pel rati (Passiu-Fons Propis)/Actiu.</t>
  </si>
  <si>
    <t>No innovador i sector en crisi</t>
  </si>
  <si>
    <t>Innovador o sector en creixement</t>
  </si>
  <si>
    <t>Innovador en sector en creixement</t>
  </si>
  <si>
    <t>El grau d’innovació amb relació al sector valora la diferenciació o valor afegit del projecte empresarial i l’evolució del sector on se situa.</t>
  </si>
  <si>
    <t>Sense cohesió</t>
  </si>
  <si>
    <t>Cohesió mínima necessària</t>
  </si>
  <si>
    <t>Alta cohesió o promotor/soci únic</t>
  </si>
  <si>
    <t>El grau de cohesió entre els promotors o socis valora la complementarietat, vincles, valors personals  i objectius empresarials existents entre els diferents socis del projecte.</t>
  </si>
  <si>
    <t>Gens idoni</t>
  </si>
  <si>
    <t>Idoneïtat parcial</t>
  </si>
  <si>
    <t>Idoneïtat total</t>
  </si>
  <si>
    <t xml:space="preserve">La idoneïtat en relació amb les empreses allotjades i del municipi valora el grau d’interès positiu que provoca entre les empreses del viver i de Cornellà de Llobregat, l’activitat a desenvolupar pel projecte empresarial.  </t>
  </si>
  <si>
    <t xml:space="preserve">VALORACIÓ </t>
  </si>
  <si>
    <t>Puntos débiles</t>
  </si>
  <si>
    <t>Puntos Fuertes</t>
  </si>
  <si>
    <t>De origen Interno</t>
  </si>
  <si>
    <t>De origen externo</t>
  </si>
  <si>
    <t>Amenazas</t>
  </si>
  <si>
    <t>Debilidades</t>
  </si>
  <si>
    <t>Fortalezas</t>
  </si>
  <si>
    <t>Oportunidades</t>
  </si>
  <si>
    <t>Tesor.Mínima</t>
  </si>
  <si>
    <t>Total nuevos clientes</t>
  </si>
  <si>
    <t>Clientes AÑO 1</t>
  </si>
  <si>
    <t>Clientes AÑO 2</t>
  </si>
  <si>
    <t>Clientes AÑO 3</t>
  </si>
  <si>
    <t>Unidades medias vendidas * cliente</t>
  </si>
  <si>
    <t>Unidades vendidas * cliente AÑO 1</t>
  </si>
  <si>
    <t>Unidades vendidas * cliente AÑO 2</t>
  </si>
  <si>
    <t>Unidades vendidas * cliente AÑO 3</t>
  </si>
  <si>
    <t>Clientes acumulados</t>
  </si>
  <si>
    <t>Pérdidas de clientes</t>
  </si>
  <si>
    <t>Total clientes</t>
  </si>
  <si>
    <t>Resultado:</t>
  </si>
  <si>
    <t>Total pérdidas clientes</t>
  </si>
  <si>
    <t>CAPTACIÓN DE CLIENTES</t>
  </si>
  <si>
    <t>CAC clientes captados por mes</t>
  </si>
  <si>
    <t>FIDELIZACIÓN CLIENTES</t>
  </si>
  <si>
    <t>Coste Adquisición Clientes (CAC)</t>
  </si>
  <si>
    <t>Live Time Value (LTV)</t>
  </si>
  <si>
    <t>Churn Rate (Clientes finales - Iniciales)</t>
  </si>
  <si>
    <t>Margen Bruto</t>
  </si>
  <si>
    <t>LTV</t>
  </si>
  <si>
    <t>Meses de LTV</t>
  </si>
  <si>
    <t>Total costes captación</t>
  </si>
  <si>
    <t>Total costes fidelización</t>
  </si>
  <si>
    <t>Nº Clientes captados</t>
  </si>
  <si>
    <t>Empresa:</t>
  </si>
  <si>
    <t>Comercial:</t>
  </si>
  <si>
    <t>Fecha:</t>
  </si>
  <si>
    <t>Facturación total anual</t>
  </si>
  <si>
    <t>Máxima horas día</t>
  </si>
  <si>
    <t>Año análisis</t>
  </si>
  <si>
    <t>Nuevos clientes</t>
  </si>
  <si>
    <t>Recurrentes</t>
  </si>
  <si>
    <t>% Facturación mes en curso</t>
  </si>
  <si>
    <t>Horas día</t>
  </si>
  <si>
    <t>Mes</t>
  </si>
  <si>
    <t xml:space="preserve">Dias laborables </t>
  </si>
  <si>
    <t xml:space="preserve">Contacto nueva empresa/dia </t>
  </si>
  <si>
    <t>Empresas NUEVAS  Contactadas/Mes</t>
  </si>
  <si>
    <t>Nº Visitas mes</t>
  </si>
  <si>
    <t>% Solicitudes</t>
  </si>
  <si>
    <t>Nº Presupuestos</t>
  </si>
  <si>
    <t>Nº Aceptados</t>
  </si>
  <si>
    <t>€ Ventas aceptadas</t>
  </si>
  <si>
    <t xml:space="preserve">Horas /dia captación nuevo cliente </t>
  </si>
  <si>
    <t>Horas /dia visitas</t>
  </si>
  <si>
    <t>Horas /dia presupuesto</t>
  </si>
  <si>
    <t>Horas /dia seguim. Pres.</t>
  </si>
  <si>
    <t>Horas /dia  Total Nuevos clientes</t>
  </si>
  <si>
    <t>Total horas diarias: Horas captación + recurrentes</t>
  </si>
  <si>
    <t>VENTA CLIENTES RECURRENTES</t>
  </si>
  <si>
    <t xml:space="preserve">Contacto empresa/dia </t>
  </si>
  <si>
    <t>Empresas Contactadas/Mes</t>
  </si>
  <si>
    <t>Nº Llamadas</t>
  </si>
  <si>
    <t>% solicitudes</t>
  </si>
  <si>
    <t>Nº Solicitudes</t>
  </si>
  <si>
    <t>% aceptación</t>
  </si>
  <si>
    <t>Horas /dia captacion ventas</t>
  </si>
  <si>
    <t>Horas /dia  Total compras repetitivas</t>
  </si>
  <si>
    <t>Nota: Cumplimentar únicamente las celdas en blanco (importes en azul)</t>
  </si>
  <si>
    <t>Supuestos:</t>
  </si>
  <si>
    <t>1.- Se entiende por llamada a contacto nueva empresa</t>
  </si>
  <si>
    <t xml:space="preserve">2.- Las visitas corresponden al de las empresas contactadas el mes anterior y al 50% de las empresas contacdas en el mes en curso </t>
  </si>
  <si>
    <t xml:space="preserve">4.-El tiempo medio de visita se estima en 1 hora  </t>
  </si>
  <si>
    <t>Lunes</t>
  </si>
  <si>
    <t>Martes</t>
  </si>
  <si>
    <t>Miércoles</t>
  </si>
  <si>
    <t>Jueves</t>
  </si>
  <si>
    <t>Viernes</t>
  </si>
  <si>
    <t>Sábado</t>
  </si>
  <si>
    <t>Domingo</t>
  </si>
  <si>
    <t>Usuarios</t>
  </si>
  <si>
    <t>Validación</t>
  </si>
  <si>
    <t>Orden</t>
  </si>
  <si>
    <t>Tipus de societat</t>
  </si>
  <si>
    <t>Tipus impositiu</t>
  </si>
  <si>
    <t>Sociedad cooperativa</t>
  </si>
  <si>
    <t>Entidad sin ánimo de lucro</t>
  </si>
  <si>
    <t>Tipo reducido impuesto de sociedades</t>
  </si>
  <si>
    <t>Estimación directa</t>
  </si>
  <si>
    <t>Estimación objetiva / Módulos</t>
  </si>
  <si>
    <t>Con recargo de equivaléncia</t>
  </si>
  <si>
    <t>Sociedad</t>
  </si>
  <si>
    <t>Declaraciones de IVA Trimestrales y anual (Modelo 303 y 390)
Declaraciones de Pago fraccionado IRPF Trimestrales (Modelo 130)
Declaraciones de IRPF Trimestrales facturas de profesionales recibidas (Modelo 111 y 190)
Declaración informativa 347
Declaraciones operaciones intracomunitarias 349
Declaracions operacions intracomunitaries 349</t>
  </si>
  <si>
    <t>Declaraciones de IVA Trimestrales (Modelo 303)
Declaraciones de IRPF Trimestrales (Modelo 131)
Declaraciones de IRPF Trimestrales trabajadores y/o facturas de profesionales recibidas (Modelo 111 y 190)
Declaración informativa 347</t>
  </si>
  <si>
    <t>Declaraciones de IRPF Trimestrales (Modelo 131)
Declaraciones de IRPF Trimestrales trabajadores y/o facturas de profesionales recibidas (Modelo 111 y 190)</t>
  </si>
  <si>
    <t>Declaraciones de IVA Trimestrales y anual (Modelo 303 y 390)
Declaraciones de IRPF Trimestrales facturas de profesionales recibidas (Modelo 111 y 190)
Impuesto sobre sociedades y pagos por anticipado si procede. (Modelo 200 y 202)
Declaración informativa 347
Declaraciones operaciones intracomunitaries 349
Obligaciones mercantiles. Depósito de Cuentas Anuales, legalización de libros y actas</t>
  </si>
  <si>
    <t>Declaraciones retencines alquiler (Model 115 i 180)</t>
  </si>
  <si>
    <t>Forma jurídica:</t>
  </si>
  <si>
    <t>% Retención alquiler</t>
  </si>
  <si>
    <t>IS Societats</t>
  </si>
  <si>
    <t>TIPUS</t>
  </si>
  <si>
    <t>RESULTAT</t>
  </si>
  <si>
    <t>IMPOST</t>
  </si>
  <si>
    <t>Estimación IS mensual</t>
  </si>
  <si>
    <t>TOTAL IMPUESTO IS</t>
  </si>
  <si>
    <t>Pago IS</t>
  </si>
  <si>
    <t>Nómina imputada promotor</t>
  </si>
  <si>
    <t>Resultado actividad</t>
  </si>
  <si>
    <t>Pagos a cuenta IRPF</t>
  </si>
  <si>
    <t>SALDO HDA PÚBLICA IS/IRPF FINAL Año</t>
  </si>
  <si>
    <t>Gasto</t>
  </si>
  <si>
    <t>Pago</t>
  </si>
  <si>
    <t>Saldo Balance</t>
  </si>
  <si>
    <t>PAGO MÓDULOS</t>
  </si>
  <si>
    <t>Gasto módulo</t>
  </si>
  <si>
    <t>Comisión apertura préstamos</t>
  </si>
  <si>
    <t>RESULTADO DESPUÉS DE IMPUESTOS</t>
  </si>
  <si>
    <t>Comisión de apertura</t>
  </si>
  <si>
    <t>Comissió obertura</t>
  </si>
  <si>
    <t>Quota</t>
  </si>
  <si>
    <t>Total anys</t>
  </si>
  <si>
    <t>Mes inici préstec</t>
  </si>
  <si>
    <t xml:space="preserve">Productes/serveis </t>
  </si>
  <si>
    <t>Altres costos variables</t>
  </si>
  <si>
    <t>% cost variable</t>
  </si>
  <si>
    <t>Catàleg productes/serveis per famílies</t>
  </si>
  <si>
    <t>Plazo pag.</t>
  </si>
  <si>
    <t>Coste variable 1</t>
  </si>
  <si>
    <t>Coste variable 2</t>
  </si>
  <si>
    <t>Coste variable 3</t>
  </si>
  <si>
    <t>Coste variable 4</t>
  </si>
  <si>
    <t>Coste variable 5</t>
  </si>
  <si>
    <t>Coste variable 6</t>
  </si>
  <si>
    <t>Coste variable 7</t>
  </si>
  <si>
    <t xml:space="preserve"> AÑO 3</t>
  </si>
  <si>
    <t>Resultado Empresarioo individual</t>
  </si>
  <si>
    <r>
      <t xml:space="preserve">Datos a cumplimentar </t>
    </r>
    <r>
      <rPr>
        <sz val="8"/>
        <color theme="1"/>
        <rFont val="Calibri"/>
        <family val="2"/>
        <scheme val="minor"/>
      </rPr>
      <t>(Sólo</t>
    </r>
    <r>
      <rPr>
        <b/>
        <sz val="8"/>
        <color theme="1"/>
        <rFont val="Calibri"/>
        <family val="2"/>
        <scheme val="minor"/>
      </rPr>
      <t xml:space="preserve"> </t>
    </r>
    <r>
      <rPr>
        <sz val="8"/>
        <color theme="1"/>
        <rFont val="Calibri"/>
        <family val="2"/>
        <scheme val="minor"/>
      </rPr>
      <t>h</t>
    </r>
    <r>
      <rPr>
        <sz val="8"/>
        <color theme="1"/>
        <rFont val="Calibri"/>
        <family val="2"/>
      </rPr>
      <t>ojas y casillas azul claro)</t>
    </r>
  </si>
  <si>
    <t>Total Pagaments compres sense IVA</t>
  </si>
  <si>
    <t>Total Pagaments IVA Compres</t>
  </si>
  <si>
    <t>Total cobro IVA Ventas</t>
  </si>
  <si>
    <t>diferencia gastos - pago</t>
  </si>
  <si>
    <t>Obligaciones periódicas</t>
  </si>
  <si>
    <t>Precio unitario</t>
  </si>
  <si>
    <t>Día</t>
  </si>
  <si>
    <t>Día sem.</t>
  </si>
  <si>
    <t>Fest/Laboral</t>
  </si>
  <si>
    <t>Total ventas</t>
  </si>
  <si>
    <t>Días semana festivos:</t>
  </si>
  <si>
    <t>Días festivos año:</t>
  </si>
  <si>
    <t>Días laborales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</si>
  <si>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</si>
  <si>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</si>
  <si>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</si>
  <si>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</si>
  <si>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</si>
  <si>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</si>
  <si>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</si>
  <si>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</si>
  <si>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</si>
  <si>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</si>
  <si>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</si>
  <si>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</si>
  <si>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 general</t>
  </si>
  <si>
    <t>Festivo</t>
  </si>
  <si>
    <t>Laboral</t>
  </si>
  <si>
    <t>Vinculación cohesión entre los socios y motivos creación</t>
  </si>
  <si>
    <t>Organigrama y Selección de personal</t>
  </si>
  <si>
    <t>Situación y características del sector</t>
  </si>
  <si>
    <t>mes</t>
  </si>
  <si>
    <t>Total clientes por productos/servicios</t>
  </si>
  <si>
    <t>Clientes por lineas de actividad</t>
  </si>
  <si>
    <t>Costes</t>
  </si>
  <si>
    <t>La información y documentación común para desarrollar un plan de viabilidad es:</t>
  </si>
  <si>
    <t>Currículum Vitae de todos los promotores.</t>
  </si>
  <si>
    <t>Información del sector y cuantificar mercado potencial.</t>
  </si>
  <si>
    <t>Estimación mensual de clientes y ventas (en unidades y valor).</t>
  </si>
  <si>
    <t>Estudio de la competencia.</t>
  </si>
  <si>
    <t>Catálogo de servicios y / o productos con los precios de venta.</t>
  </si>
  <si>
    <t>Costes y márgenes medios de los productos y servicios que se ofrecen.</t>
  </si>
  <si>
    <t>Posibles proveedores (precios, plazos de pago)</t>
  </si>
  <si>
    <t>Presupuestos de la inversión y stock inicial.</t>
  </si>
  <si>
    <t>Cuantificar el gasto inicial en publicidad, qué acciones desarrollarán y el presupuesto anual.</t>
  </si>
  <si>
    <t>Cuantificar gastos fijos: alquiler, seguros, suministros (agua, luz, teléfono, etc.)</t>
  </si>
  <si>
    <t>Conocer la necesidad de personal, hacer un cuadro horario del personal (teniendo en cuenta las vacaciones y los días festivos).</t>
  </si>
  <si>
    <t>Si dispone de local comercial:</t>
  </si>
  <si>
    <t>Conocer la duración del contrato, las mensualidades y la fianza.</t>
  </si>
  <si>
    <t>Conocer los gastos y requisitos para obtener la licencia de apertura, del ingeniero técnico, tasas ... consultar en el Ayuntamiento.</t>
  </si>
  <si>
    <t>Preguntar a urbanismo si el local está afectado.</t>
  </si>
  <si>
    <t>Situar el local en un plano para conocer la afluencia de paso.</t>
  </si>
  <si>
    <t>Preguntar si tiene el permiso de la comunidad de propietarios para desarrollar su actividad.</t>
  </si>
  <si>
    <t>En el caso de que haya un traspaso o contrato de franquicia llevar la documentación.</t>
  </si>
  <si>
    <t>Plan de trabajo</t>
  </si>
  <si>
    <t>COMPLIANCE</t>
  </si>
  <si>
    <t>Grado</t>
  </si>
  <si>
    <t>Grado 1: Clientes por cuyas circunstancias su admisión debe ser rechazada. 
Grado 2: Clientes que, por considerarse de riesgo superior, su admisión requiere autorización del OCI.1. 
Grado 3: Clientes que, por considerarse de riesgo medio, son admisibles con la aplicación de medidas normales. 
Grado 4: Clientes que, en base a su bajo riesgo, pueden admitirse con la aplicación de medidas simplificadas.</t>
  </si>
  <si>
    <t>Clasificación cliente según grado de Riesgo</t>
  </si>
  <si>
    <t>Exclusivamente para empresas alojadas</t>
  </si>
  <si>
    <t>Contratación prevista gestoría</t>
  </si>
  <si>
    <t xml:space="preserve">¿Desempeñan o han desempañado en los dos últimos años funciones públicas importantes en algún estado miembro de la Unión Europea o en terceros países? </t>
  </si>
  <si>
    <t xml:space="preserve">¿Son ustedes familiar o allegado de alguna persona que desempeñe o haya desempañado en los dos últimos años funciones públicas importantes en algún estado miembro de la Unión Europea o en terceros países? </t>
  </si>
  <si>
    <t>Familiar y cargo:</t>
  </si>
  <si>
    <t>Observaciones</t>
  </si>
  <si>
    <t>1. Inexistencia de líder cualificado en la empresa</t>
  </si>
  <si>
    <t>1. Líder con visión y plan estratégico</t>
  </si>
  <si>
    <t>2. No llevar a cabo una selección de personal adecuada</t>
  </si>
  <si>
    <t>2. Selección de personal profesional</t>
  </si>
  <si>
    <t>3. Política retributiva inadecuada (compensación y retención)</t>
  </si>
  <si>
    <t>3. Política retributiva adecuada (compensación y retención)</t>
  </si>
  <si>
    <t>ÁREA DE MARKETING Y VENTAS</t>
  </si>
  <si>
    <t>4. Falta de orientación al mercado/cliente</t>
  </si>
  <si>
    <t>4. Orientación al mercado/cliente</t>
  </si>
  <si>
    <t>5. No vincular las ventas a la acción comercial</t>
  </si>
  <si>
    <t>5. Establecer previsiones de ventas</t>
  </si>
  <si>
    <t>6. Dejar que factores externos marquen el destino de la empresa</t>
  </si>
  <si>
    <t>6. Conocer, anticiparse y adaptarse a factores externos</t>
  </si>
  <si>
    <t>7. Otorgar poca importancia a la interrelación empresarial</t>
  </si>
  <si>
    <t>7. Tejer redes de contactos</t>
  </si>
  <si>
    <t>8. Depender de terceros sobremanera</t>
  </si>
  <si>
    <t>8. Máxima independencia posible respecto a terceros</t>
  </si>
  <si>
    <t>ÁREA FINANCIERA</t>
  </si>
  <si>
    <t>9. Improvisar las necesidades financieras</t>
  </si>
  <si>
    <t>9. Anticipación a las necesidades financieras</t>
  </si>
  <si>
    <t>10. Desconocimiento de márgenes, costes fijos y variables</t>
  </si>
  <si>
    <t>10. Conocimiento de márgenes, costes fijos y variables</t>
  </si>
  <si>
    <t>11. Excesivo endeudamiento</t>
  </si>
  <si>
    <t>11. Buen equilibrio económico</t>
  </si>
  <si>
    <t>12. Anteponer el interés económico personal al empresarial</t>
  </si>
  <si>
    <t xml:space="preserve">12. El interés empresarial prevalece sobre el personal </t>
  </si>
  <si>
    <t>ÁREA LEGAL</t>
  </si>
  <si>
    <t>13. Descuidar las relaciones entre los socios y sus posiciones dentro de la empresa</t>
  </si>
  <si>
    <t>13. Cuidar las relaciones entre los socios y sus posiciones dentro de la empresa</t>
  </si>
  <si>
    <t>Definir los objetivos, principios y valores de la empresa, y confirmar el grado de implicación, afinidad y complementariedad de los socios</t>
  </si>
  <si>
    <t>Dejar muy claras las condiciones a aplicar en caso de desvinculación de un socio de la sociedad</t>
  </si>
  <si>
    <t>14. Asumir riesgos innecesarios</t>
  </si>
  <si>
    <t xml:space="preserve">14. Ajustar la actividad a la legislación vigente y tratar de ser transparente </t>
  </si>
  <si>
    <t>ÁREA DE RRHH</t>
  </si>
  <si>
    <t>Objeto visita</t>
  </si>
  <si>
    <t>Indicador</t>
  </si>
  <si>
    <t>Evolución prevista empleados</t>
  </si>
  <si>
    <t>Ventas / Nº Empleados</t>
  </si>
  <si>
    <t>Fondo de maniobra</t>
  </si>
  <si>
    <t>Periodo medio de cobro</t>
  </si>
  <si>
    <t>Periodo medio de pago</t>
  </si>
  <si>
    <t>DAFO</t>
  </si>
  <si>
    <t>Países donde exporta producto / servicio</t>
  </si>
  <si>
    <t>Variaciones Ventas</t>
  </si>
  <si>
    <t>Variaciones %</t>
  </si>
  <si>
    <t>% Margen</t>
  </si>
  <si>
    <t>CAC</t>
  </si>
  <si>
    <t>Endeudamiento</t>
  </si>
  <si>
    <t>Menor 1</t>
  </si>
  <si>
    <t>Número</t>
  </si>
  <si>
    <t>Visitas</t>
  </si>
  <si>
    <t>Presupuestos</t>
  </si>
  <si>
    <t>C.A.C.</t>
  </si>
  <si>
    <t>L.T.V.</t>
  </si>
  <si>
    <t>Margen vta.</t>
  </si>
  <si>
    <t>Llamadas teléfono</t>
  </si>
  <si>
    <r>
      <t>i)</t>
    </r>
    <r>
      <rPr>
        <sz val="7"/>
        <color rgb="FFC00000"/>
        <rFont val="Calibri"/>
        <family val="2"/>
        <scheme val="minor"/>
      </rPr>
      <t xml:space="preserve">                    </t>
    </r>
    <r>
      <rPr>
        <sz val="10.5"/>
        <color rgb="FFC00000"/>
        <rFont val="Calibri"/>
        <family val="2"/>
        <scheme val="minor"/>
      </rPr>
      <t>No tiene información.</t>
    </r>
  </si>
  <si>
    <r>
      <t>i)</t>
    </r>
    <r>
      <rPr>
        <sz val="7"/>
        <color rgb="FF000000"/>
        <rFont val="Calibri"/>
        <family val="2"/>
        <scheme val="minor"/>
      </rPr>
      <t xml:space="preserve">                    </t>
    </r>
    <r>
      <rPr>
        <sz val="10.5"/>
        <color rgb="FF000000"/>
        <rFont val="Calibri"/>
        <family val="2"/>
        <scheme val="minor"/>
      </rPr>
      <t>Cuenta con un cuadro de mandos integral.</t>
    </r>
  </si>
  <si>
    <r>
      <t>ii)</t>
    </r>
    <r>
      <rPr>
        <sz val="7"/>
        <color rgb="FFC00000"/>
        <rFont val="Calibri"/>
        <family val="2"/>
        <scheme val="minor"/>
      </rPr>
      <t xml:space="preserve">                  </t>
    </r>
    <r>
      <rPr>
        <sz val="10.5"/>
        <color rgb="FFC00000"/>
        <rFont val="Calibri"/>
        <family val="2"/>
        <scheme val="minor"/>
      </rPr>
      <t>No tiene la información adecuada o actualizada.</t>
    </r>
  </si>
  <si>
    <r>
      <t>ii)</t>
    </r>
    <r>
      <rPr>
        <sz val="7"/>
        <color rgb="FF000000"/>
        <rFont val="Calibri"/>
        <family val="2"/>
        <scheme val="minor"/>
      </rPr>
      <t xml:space="preserve">                  </t>
    </r>
    <r>
      <rPr>
        <sz val="10.5"/>
        <color rgb="FF000000"/>
        <rFont val="Calibri"/>
        <family val="2"/>
        <scheme val="minor"/>
      </rPr>
      <t>Realiza un análisis actualizado de la información y toma de decisiones.</t>
    </r>
  </si>
  <si>
    <r>
      <t>iii)</t>
    </r>
    <r>
      <rPr>
        <sz val="7"/>
        <color rgb="FFC00000"/>
        <rFont val="Calibri"/>
        <family val="2"/>
        <scheme val="minor"/>
      </rPr>
      <t xml:space="preserve">                </t>
    </r>
    <r>
      <rPr>
        <sz val="10.5"/>
        <color rgb="FFC00000"/>
        <rFont val="Calibri"/>
        <family val="2"/>
        <scheme val="minor"/>
      </rPr>
      <t>No toma decisiones con la celeridad necesaria.</t>
    </r>
  </si>
  <si>
    <t>-   Gerente que no cuenta con visión estratégica.</t>
  </si>
  <si>
    <t>-   El Gerente planifica y tiene una visión clara de los objetivos de la empresa (a corto, medio y largo plazo) y también cuenta con un plan de contingencias.</t>
  </si>
  <si>
    <t>-   Gerente que no identifica ni suple sus carencias en gestión de empresas , especialmente en cuanto a conocimiento del sector, marketing y ventas.</t>
  </si>
  <si>
    <t xml:space="preserve">-   El Gerente ejecuta personalmente y/o a través de trabajadores o colaboradores que le permitan hacerlo con garantías. A su vez, realiza reuniones periódicas con sus socios y departamentos, para alinear objetivos de la empresa. </t>
  </si>
  <si>
    <t>-   Gerente con falta de humildad para escuchar otras opiniones diferentes a las suyas , aprender y asumir errores</t>
  </si>
  <si>
    <t>-   Gerente que no controla la empresa debido a que:</t>
  </si>
  <si>
    <t>-   El Gerente controla lo que lleva a cabo la empresa estableciendo diferentes procesos con la ayuda de softwares de gestión, estableciendo diferentes mecanismos e indicadores. Por lo que:</t>
  </si>
  <si>
    <t>-   Errar especialmente en las primeras contrataciones y en momentos de crecimiento, menoscabando la eficiencia en la organización e impidiendo la estabilidad de la empresa.  </t>
  </si>
  <si>
    <t>-   Identificar las necesidades en su organización empresarial y tratar de cubrirlas con las personas de mayor competencia.</t>
  </si>
  <si>
    <t>-   Incluir a amigos o familiares en la plantilla que no están capacitados</t>
  </si>
  <si>
    <t>-   Establecer criterios de selección objetivos, teniendo en cuenta la actitud y la aptitud.</t>
  </si>
  <si>
    <t xml:space="preserve">-   No tener una definición clara de puestos de trabajo y una organización de personal clara. </t>
  </si>
  <si>
    <t>-   Definir las funciones y responsabilidades del equipo.</t>
  </si>
  <si>
    <t xml:space="preserve">-   No establecer salarios para los socios trabajadores de manera individualizada y con arreglo y proporción al valor de mercado. Promover escenarios en que todos los socios trabajadores deben cobrar el mismo sueldo bruto o neto. </t>
  </si>
  <si>
    <t>-   Los socios trabajadores cobran en función de su dedicación, competencias y responsabilidad (medibles y objetivas).</t>
  </si>
  <si>
    <t>-   No incentivar ni motivar adecuadamente a los empleados, provocando excesos de rotación, etc.</t>
  </si>
  <si>
    <t>-   Incentivar a la plantilla con salarios variables u opciones sobre el capital y establecer políticas de reconocimiento, etc. (plan de compensación total). </t>
  </si>
  <si>
    <t>-   No atender a las necesidades de los cliente</t>
  </si>
  <si>
    <t>-   Incorporar al producto o servicio las funcionalidades o prestaciones detectadas entre las necesidades de clientes o potenciales clientes.</t>
  </si>
  <si>
    <t xml:space="preserve">-   Centrarse en las prestaciones y funcionalidades del producto o servicio en lugar de las necesidades que debe cubrir. </t>
  </si>
  <si>
    <t>-   Segmentar el mercado para identificar dónde se encuentran las mayores posibilidades de negocio.</t>
  </si>
  <si>
    <t>-   No identificar el nicho de mercado correctamente o tratar de vender a todo tipo de clientes, sin segmentarlos.</t>
  </si>
  <si>
    <t xml:space="preserve">-   Ni identificar los objetivos de ventas ni contar con un plan comercial para conseguirlos. </t>
  </si>
  <si>
    <t xml:space="preserve">-   Cuando marca el destino y objetivos comerciales de la empresa, calcula los recursos necesarios para llevarlos a cabo. </t>
  </si>
  <si>
    <t>-   Pensar que no es posible hacer una estimación de ventas porque es algo aleatorio.</t>
  </si>
  <si>
    <t xml:space="preserve">-   Determina el plan comercial y/o red comercial más adecuado para llegar a la previsión de ventas. </t>
  </si>
  <si>
    <t xml:space="preserve">-   No atender a las oportunidades y amenazas del entorno, ignorando que la inacción ante las mismas puede determinar el éxito de la actividad empresarial. </t>
  </si>
  <si>
    <t>-   Estar continuamente actualizados sobre las oportunidades y amenazas del entorno.</t>
  </si>
  <si>
    <t>-   No enfocar el equipo a mejoras continuas, dejando que sean factores externos o terceros quienes fijen los procesos internos, las relaciones contractuales, etc. En definitiva, obviar por completo la innovación.</t>
  </si>
  <si>
    <t xml:space="preserve">-   Estar enfocados a la innovación, sea en procesos, productos, etc. y replantearse continuamente las condiciones de sus contrataciones o acuerdos.  </t>
  </si>
  <si>
    <t>-   No establecer alianzas con otros actores y limitarse siempre a los mismos (pocos).</t>
  </si>
  <si>
    <t>-   Aumentar continuamente la red de contactos previamente seleccionados para que su producto o servicio se dé a conocer.</t>
  </si>
  <si>
    <t xml:space="preserve">-   No aprovechar sinergias con otras empresas para llevar a cabo colaboraciones o abarcar mayor cuota de mercado. </t>
  </si>
  <si>
    <t xml:space="preserve">-   Aprovecha sinergias con otras empresas para llevar a cabo colaboraciones o abarcar mayor cuota de mercado. </t>
  </si>
  <si>
    <t>-   No elegir los actores de sus interrelaciones en base a objetivos estrictamente profesionales.</t>
  </si>
  <si>
    <t>-   Depender de proveedores sin contar con alternativas.</t>
  </si>
  <si>
    <t>-   Contar con alternativas en los proveedores.</t>
  </si>
  <si>
    <t>-   Depender de trabajadores que afectan a tu proceso de producción o servucción.</t>
  </si>
  <si>
    <t xml:space="preserve">-   Evitar que los trabajadores puedan determinar por sí solos los procesos de producción o servucción. </t>
  </si>
  <si>
    <t>-   No otorgar importancia al ABC de clientes.</t>
  </si>
  <si>
    <t>-   Contar con una cartera de clientes diversificada.</t>
  </si>
  <si>
    <t>-   No detectar necesidades financieras a corto y medio plazo.</t>
  </si>
  <si>
    <t>-   Identifica las necesidades financieras a corto y medio plazo.</t>
  </si>
  <si>
    <t>-   Desconocer las opciones existentes para cubrir esas necesidades financieras.</t>
  </si>
  <si>
    <t>-   Cuenta con provisiones para situaciones inciertas.</t>
  </si>
  <si>
    <t>-   No prever situaciones futuras que pueden llegar a cerrar la empresa por no tener suficiente solvencia económica (situaciones como despidos, impagos, etc.).        </t>
  </si>
  <si>
    <t xml:space="preserve">-   Conoce las diferentes opciones más adecuadas para financiar su empresa. </t>
  </si>
  <si>
    <t xml:space="preserve">-   Desconocer y descuidar costes asociados a cada producto o servicio. </t>
  </si>
  <si>
    <t xml:space="preserve">-   Conoce cuáles son los costes de prestar un servicio o entregar un producto. </t>
  </si>
  <si>
    <t>-   Estrategia de precios inexistente, errónea o marcada por excesos de costes.</t>
  </si>
  <si>
    <t xml:space="preserve">-   Contar con una estrategia de precios sostenible y argumentada. </t>
  </si>
  <si>
    <t>-   Endeudarse por encima de un 60% respecto al pasivo total de la empresa.</t>
  </si>
  <si>
    <t>-   Contar con fondos propios suficientes para que el pasivo represente un endeudamiento máximo del 60%.</t>
  </si>
  <si>
    <t>-   No reinvertir en la empresa para lograr su adecuada capitalización</t>
  </si>
  <si>
    <t>-   Reinvierten en la empresa hasta que se encuentra capitalizada y los fondos propios demuestran solvencia.</t>
  </si>
  <si>
    <t xml:space="preserve">-   Confundir el patrimonio empresarial y el patrimonio personal </t>
  </si>
  <si>
    <t xml:space="preserve">-   No realiza movimientos injustificados entre su patrimonio personal y el de la empresa. </t>
  </si>
  <si>
    <t>-   Permitir que socios que no aportan mayor valor (sea trabajo o especialmente dinero) tengan los mismos derechos que los otros socios.</t>
  </si>
  <si>
    <t>-   Reequilibrar las situaciones que dan lugar a injusticias entre socios.</t>
  </si>
  <si>
    <t xml:space="preserve">-   Contar con socios innecesarios, que no van aportar nada que no se pueda encontrar en el mercado con facilidad. </t>
  </si>
  <si>
    <t>-   Externalizar aspectos no fundamentales de su negocio antes de incorporar socios innecesarios.</t>
  </si>
  <si>
    <t xml:space="preserve">-   No distinguir la condición de socio con la de trabajador de la empresa. </t>
  </si>
  <si>
    <t xml:space="preserve">-   No contrastar si los socios comparten los mismos objetivos, principios, valores y grado de implicación </t>
  </si>
  <si>
    <t>-   No definir las condiciones de una desvinculación de la sociedad</t>
  </si>
  <si>
    <t xml:space="preserve">-   No ajustarse a la legislación (especialmente tributaria y de Seguridad Social), lo que puede derivar en problemas continuados que impidan centrarse en la gestión. </t>
  </si>
  <si>
    <t xml:space="preserve">-   Centrarse en la actividad empresarial y cuidar que la misma esté ajustada a legalidad, para evitar dedicar esfuerzos y recursos a subsanar anomalías. </t>
  </si>
  <si>
    <t xml:space="preserve">-   Permitir situaciones de poca transparencia o no ajustadas a la ley en la empresa, sin contar que ello puede suponer problemas con terceros: inversores, adquirentes, bancos, etc. </t>
  </si>
  <si>
    <t>-   La transparencia en la situación económica y laboral de su empresa permite presentarse frente a terceros sin problemas de interpretación.</t>
  </si>
  <si>
    <t>-   No disolver y liquidar la empresa cuando la situación lo aconseja.</t>
  </si>
  <si>
    <t xml:space="preserve">-   Saber introducir reducciones en la empresa o incluso disolverla y liquidarla cuando la situación no se sostiene. </t>
  </si>
  <si>
    <t>PROBLEMA</t>
  </si>
  <si>
    <t>SOLUCIÓN</t>
  </si>
  <si>
    <t>INDICADORES</t>
  </si>
  <si>
    <t>EQUIPO</t>
  </si>
  <si>
    <t>NECESIDADES</t>
  </si>
  <si>
    <t>MODELO DE NEGOCIO</t>
  </si>
  <si>
    <t>Acciones</t>
  </si>
  <si>
    <t>Inversion MKT</t>
  </si>
  <si>
    <t>Coste adicional</t>
  </si>
  <si>
    <t>Inversion Total</t>
  </si>
  <si>
    <t>CPC</t>
  </si>
  <si>
    <t>Visitas o impacto</t>
  </si>
  <si>
    <t>Conv. cliente activo</t>
  </si>
  <si>
    <t>Ventas (anual)</t>
  </si>
  <si>
    <t>INVERSION MARKETING</t>
  </si>
  <si>
    <t>PERIODICIDAD VENTA</t>
  </si>
  <si>
    <t>Periodicidad venta</t>
  </si>
  <si>
    <t>Anual (1 venta año)</t>
  </si>
  <si>
    <t>Semestral (2 ventas al año)</t>
  </si>
  <si>
    <t>Trimestral (4 ventas al año)</t>
  </si>
  <si>
    <t>Mensual (12 ventas al año)</t>
  </si>
  <si>
    <t>MESES VIDA CLIENTE</t>
  </si>
  <si>
    <t>Total inversión Marketing</t>
  </si>
  <si>
    <t>Coste adicional2</t>
  </si>
  <si>
    <t>PRECIO MEDIO VENTA(CESTA)</t>
  </si>
  <si>
    <t>Canales (On line/Off line</t>
  </si>
  <si>
    <t>Conversión descarga</t>
  </si>
  <si>
    <t>Venta media</t>
  </si>
  <si>
    <t>PARTNERS</t>
  </si>
  <si>
    <t>Sociedad Civil Privada</t>
  </si>
  <si>
    <t>Ámbito sectorial</t>
  </si>
  <si>
    <t xml:space="preserve">Fecha constitución: </t>
  </si>
  <si>
    <t>Necesidades financiación externa</t>
  </si>
  <si>
    <t xml:space="preserve">   MÉTRICAS</t>
  </si>
  <si>
    <t>Facturación</t>
  </si>
  <si>
    <t>Nº Empleados (incluido socios)</t>
  </si>
  <si>
    <t>Nº Usuarios</t>
  </si>
  <si>
    <t>Nº Clientes</t>
  </si>
  <si>
    <t xml:space="preserve"> Meses  Burn Rate:</t>
  </si>
  <si>
    <t xml:space="preserve"> % Margen:</t>
  </si>
  <si>
    <r>
      <t>CAC</t>
    </r>
    <r>
      <rPr>
        <b/>
        <sz val="9"/>
        <color theme="1"/>
        <rFont val="Calibri"/>
        <family val="2"/>
      </rPr>
      <t xml:space="preserve"> (Coste Adquisición Cliente)</t>
    </r>
    <r>
      <rPr>
        <b/>
        <sz val="11"/>
        <color theme="1"/>
        <rFont val="Calibri"/>
        <family val="2"/>
      </rPr>
      <t>:</t>
    </r>
  </si>
  <si>
    <t>Seguimientos presupuestos</t>
  </si>
  <si>
    <t>Recurrencia</t>
  </si>
  <si>
    <t>Redes sociales</t>
  </si>
  <si>
    <t>(Repetición ventas)</t>
  </si>
  <si>
    <t>Radio</t>
  </si>
  <si>
    <t>Total coste</t>
  </si>
  <si>
    <t>Beneficio por cliente</t>
  </si>
  <si>
    <t>Ventas conseguidas</t>
  </si>
  <si>
    <t>Coste por cliente</t>
  </si>
  <si>
    <t>C.A.C. - L.T.V.</t>
  </si>
  <si>
    <t>Seguimiento</t>
  </si>
  <si>
    <t>Cuenta de Resultados</t>
  </si>
  <si>
    <t>Coste de compras</t>
  </si>
  <si>
    <t>Coste de personal</t>
  </si>
  <si>
    <t>Publicidad</t>
  </si>
  <si>
    <t>Otros gastos generales</t>
  </si>
  <si>
    <t>GASTOS EXPLOTACIÓN</t>
  </si>
  <si>
    <t>RESULTADOS ANTES IMP.</t>
  </si>
  <si>
    <t>PUNTO DE EQUILIBRIO</t>
  </si>
  <si>
    <t>Balance</t>
  </si>
  <si>
    <t>Fecha nacimiento</t>
  </si>
  <si>
    <t>Amortización y prov.</t>
  </si>
  <si>
    <t>DIFERENCIA</t>
  </si>
  <si>
    <t>miércoles, 6 de enero de 2021 - Epifanía del Señor</t>
  </si>
  <si>
    <t>viernes, 2 de abril de 2021 - Viernes Santo</t>
  </si>
  <si>
    <t>lunes, 5 de abril de 2021 - Lunes de Pascua</t>
  </si>
  <si>
    <t>sábado, 1 de mayo de 2021 - Fiesta del Trabajo</t>
  </si>
  <si>
    <t>martes, 1 de junio de 2021 - Fiesta Local</t>
  </si>
  <si>
    <t>sábado, 12 de junio de 2021 - Fiesta Local</t>
  </si>
  <si>
    <t>jueves, 24 de junio de 2021 - San Juan</t>
  </si>
  <si>
    <t>sábado, 11 de septiembre de 2021 - Diada</t>
  </si>
  <si>
    <t>martes, 12 de octubre de 2021 - Fiesta Nacional de España</t>
  </si>
  <si>
    <t>lunes, 1 de noviembre de 2021 - Día de todos Los Santos</t>
  </si>
  <si>
    <t>lunes, 6 de diciembre de 2021 - Día de la Constitución Española</t>
  </si>
  <si>
    <t>miércoles, 8 de diciembre de 2021 - La Inmaculada Concepción</t>
  </si>
  <si>
    <t>sábado, 25 de diciembre de 2021 - Natividad del Señor</t>
  </si>
  <si>
    <t>Viernes, 1 de enero de 2021 - Año Nuevo</t>
  </si>
  <si>
    <t>Fecha visita</t>
  </si>
  <si>
    <t>¿Has realizado la sesión de Ayudas para Emprender?</t>
  </si>
  <si>
    <t>¿Tienes conocimiento de normativa RGPD y Protección marca?</t>
  </si>
  <si>
    <t>¿Tienes definido un cuadro de mandos con indicadores clave?</t>
  </si>
  <si>
    <t>¿Tienes calculado tu CAC y LTV?</t>
  </si>
  <si>
    <t xml:space="preserve">Análisis Viabilidad </t>
  </si>
  <si>
    <t>Financiación</t>
  </si>
  <si>
    <t>Solicitud ubicación</t>
  </si>
  <si>
    <t>Renovación ubicación</t>
  </si>
  <si>
    <t>Capitalización de paro</t>
  </si>
  <si>
    <t>CARGO - FUNCIONES</t>
  </si>
  <si>
    <t>SALARIO BRUTO ANUAL</t>
  </si>
  <si>
    <t>COSTE EMPRESA SEG.SOCIAL ANUAL</t>
  </si>
  <si>
    <t>COSTE TRABAJADOR SEG.SOCIAL</t>
  </si>
  <si>
    <t>RETENCIÓN IRPF</t>
  </si>
  <si>
    <t>LÍQUIDO ANUAL</t>
  </si>
  <si>
    <t>LÍQUIDO COBRADO MENSUAL (12 PAGAS)</t>
  </si>
  <si>
    <t>PROMEDIO EMPLEADOS AÑO 1</t>
  </si>
  <si>
    <t xml:space="preserve">Comentarios. Tarifa plana autónomo : 60€ - 12 meses, 143€ - 6 meses, 200€ - 6 meses, 286 € </t>
  </si>
  <si>
    <t>¿Tienes definido un Plan de Marketing?</t>
  </si>
  <si>
    <t>Asistir a la sesión Ayudas para Emprender</t>
  </si>
  <si>
    <t>Número de personas</t>
  </si>
  <si>
    <r>
      <rPr>
        <b/>
        <sz val="10.199999999999999"/>
        <rFont val="Calibri"/>
        <family val="2"/>
      </rPr>
      <t>ANEXOS:</t>
    </r>
    <r>
      <rPr>
        <sz val="12"/>
        <rFont val="Calibri"/>
        <family val="2"/>
        <scheme val="minor"/>
      </rPr>
      <t xml:space="preserve">
1. Currículum Vitae promotores</t>
    </r>
  </si>
  <si>
    <t>Anexos a incluir Plan de Empresa</t>
  </si>
  <si>
    <t>Problema que soluciona y origen de la idea</t>
  </si>
  <si>
    <t>Tamaño de mercado</t>
  </si>
  <si>
    <t>Tasa de crecimiento (madurez)</t>
  </si>
  <si>
    <t>Propuesta de valor - diferenciación relevante</t>
  </si>
  <si>
    <t>Dificultad de acceso</t>
  </si>
  <si>
    <t>Segmento 1</t>
  </si>
  <si>
    <t>Segmento 2</t>
  </si>
  <si>
    <t>Segmento 3</t>
  </si>
  <si>
    <t>Segmento 4</t>
  </si>
  <si>
    <t>Segmento 5</t>
  </si>
  <si>
    <t>Segmento 6</t>
  </si>
  <si>
    <t>Segmento 7</t>
  </si>
  <si>
    <t>Segmento 8</t>
  </si>
  <si>
    <t>Segmento 9</t>
  </si>
  <si>
    <t>Segmento 10</t>
  </si>
  <si>
    <t>Actividad</t>
  </si>
  <si>
    <t>Tamaño</t>
  </si>
  <si>
    <t>Ubicación</t>
  </si>
  <si>
    <t>Criterios de puntación</t>
  </si>
  <si>
    <t>Clientes objetivos / Target / Segmento</t>
  </si>
  <si>
    <t>Estrategia comercial: Relación con los clientes / Plan de comunicación por segmento</t>
  </si>
  <si>
    <t>¿Está asociados a alguna Patronal / Asociación / Colegio...?. Indicarlas</t>
  </si>
  <si>
    <t>Amortización intangible</t>
  </si>
  <si>
    <t>Amortización tangible</t>
  </si>
  <si>
    <t>Préstamo largo plazo</t>
  </si>
  <si>
    <t>Deudores / Clientes</t>
  </si>
  <si>
    <t>Cobros clientes próximos meses</t>
  </si>
  <si>
    <t>Estudiantes en prácticas</t>
  </si>
  <si>
    <t>iii) Con visión a largo plazo, innovación, internacionalización y digitalización.</t>
  </si>
  <si>
    <t>Problema que soluciona</t>
  </si>
  <si>
    <t>Inicial</t>
  </si>
  <si>
    <t>Socios y recursos clave</t>
  </si>
  <si>
    <t>Clientes y canales</t>
  </si>
  <si>
    <t>Balance de Situación</t>
  </si>
  <si>
    <t>TOTAL inicial</t>
  </si>
  <si>
    <t>RECOMENDACIONES</t>
  </si>
  <si>
    <t>VALORACIÓN</t>
  </si>
  <si>
    <t>Cambios</t>
  </si>
  <si>
    <t>Estimación incial</t>
  </si>
  <si>
    <t>Competencia (cuadro de posicionamiento)</t>
  </si>
  <si>
    <t>Programa Startup</t>
  </si>
  <si>
    <t>Estación</t>
  </si>
  <si>
    <t>Tareas</t>
  </si>
  <si>
    <t xml:space="preserve">  Reunión kick-off </t>
  </si>
  <si>
    <t xml:space="preserve">  Tutoría 1 </t>
  </si>
  <si>
    <t xml:space="preserve">  Tutoría 2 </t>
  </si>
  <si>
    <t xml:space="preserve">  Tutoría 3 </t>
  </si>
  <si>
    <t>Project Management</t>
  </si>
  <si>
    <t xml:space="preserve">  Concepto de negocio ¿Qué? ¿Quién? ¿Cómo? </t>
  </si>
  <si>
    <t xml:space="preserve">  Objetivos (Obj) </t>
  </si>
  <si>
    <t xml:space="preserve">  Miembros de la expedición </t>
  </si>
  <si>
    <t>Análisis de la oportunidad</t>
  </si>
  <si>
    <t xml:space="preserve">  El cliente y el mercado </t>
  </si>
  <si>
    <t xml:space="preserve">  El sector: Análisis Externo </t>
  </si>
  <si>
    <t xml:space="preserve">  La ventana de oportunidad </t>
  </si>
  <si>
    <t xml:space="preserve">  Análisis DAFO / SWOT </t>
  </si>
  <si>
    <t xml:space="preserve">  Adecuación en el tiempo </t>
  </si>
  <si>
    <t xml:space="preserve">  Conclusiones análisis de la oportunidad </t>
  </si>
  <si>
    <t>Modelo de negocio</t>
  </si>
  <si>
    <t xml:space="preserve">  La propuesta de valor </t>
  </si>
  <si>
    <t xml:space="preserve">  Segmentos de clientes </t>
  </si>
  <si>
    <t xml:space="preserve">  Los canales de distribución y la relación con los clientes </t>
  </si>
  <si>
    <t xml:space="preserve">  Fuentes y modelos de ingresos </t>
  </si>
  <si>
    <t xml:space="preserve">  Las actividades clave </t>
  </si>
  <si>
    <t xml:space="preserve">  Los activos / recursos clave (tecnologías, competencias...) </t>
  </si>
  <si>
    <t xml:space="preserve">  Los socios / asociaciones clave </t>
  </si>
  <si>
    <t xml:space="preserve">  Los generadores de costes </t>
  </si>
  <si>
    <t xml:space="preserve">  Las inversiones necesarias </t>
  </si>
  <si>
    <t xml:space="preserve">  Conclusiones Modelo de Negocio </t>
  </si>
  <si>
    <t>Validación del modelo de negocio</t>
  </si>
  <si>
    <t xml:space="preserve">  Elementos validados del modelo de negocio </t>
  </si>
  <si>
    <t xml:space="preserve">  Encuestas al público objetivo </t>
  </si>
  <si>
    <t xml:space="preserve">  Entrevistas o focus group de validación </t>
  </si>
  <si>
    <t xml:space="preserve">  Formulario de encuestas cuantitativas a través de la red </t>
  </si>
  <si>
    <t xml:space="preserve">  Producto mínimo viable (MVP) de validación a utilizar o utilizado </t>
  </si>
  <si>
    <t xml:space="preserve">  Identificación de las incertidumbres/hipótesis más relevantes y pendientes de validar </t>
  </si>
  <si>
    <t xml:space="preserve">  Opción estratégica seleccionada </t>
  </si>
  <si>
    <t xml:space="preserve">  Aplicación de la matriz de Ansoff </t>
  </si>
  <si>
    <t xml:space="preserve">  Descripción Ventaja/s competitiva/s : Valoración, Sostenibildad </t>
  </si>
  <si>
    <t xml:space="preserve">  Conclusiones del avance en la validación del modelo de negocio </t>
  </si>
  <si>
    <t>Plan de marketing</t>
  </si>
  <si>
    <t xml:space="preserve">  Política producto/s y/o Servicio/s </t>
  </si>
  <si>
    <t xml:space="preserve">  Política precios </t>
  </si>
  <si>
    <t xml:space="preserve">  Política de la marca </t>
  </si>
  <si>
    <t xml:space="preserve">  Plan de comunicación </t>
  </si>
  <si>
    <t xml:space="preserve">  Política de distribución y venta </t>
  </si>
  <si>
    <t xml:space="preserve">  Estimación del CAC y el LTV </t>
  </si>
  <si>
    <t xml:space="preserve">  Fijación objetivos comerciales: Matriz producto / mercado </t>
  </si>
  <si>
    <t>Plan de operaciones y sistemas información</t>
  </si>
  <si>
    <t xml:space="preserve">  Descripción, análisis y valoración: activos no corrientes </t>
  </si>
  <si>
    <t xml:space="preserve">  Identificación y mapa de procesos </t>
  </si>
  <si>
    <t xml:space="preserve">  Política compras y stocks: Aspectos relevantes </t>
  </si>
  <si>
    <t xml:space="preserve">  Política de producción </t>
  </si>
  <si>
    <t xml:space="preserve">  Nivel de servicios </t>
  </si>
  <si>
    <t xml:space="preserve">  Logística: Aspectos Relevantes </t>
  </si>
  <si>
    <t xml:space="preserve">  Subcontratación estructural </t>
  </si>
  <si>
    <t xml:space="preserve">  Análisis costes unitarios: Escandallos </t>
  </si>
  <si>
    <t xml:space="preserve">  Política calidad y riesgos </t>
  </si>
  <si>
    <t>Plan de recursos humanos</t>
  </si>
  <si>
    <t xml:space="preserve">  Estructura organizativa, órganos de dirección </t>
  </si>
  <si>
    <t xml:space="preserve">  Políticas recursos humanos </t>
  </si>
  <si>
    <t xml:space="preserve">  Descripción posiciones y funciones </t>
  </si>
  <si>
    <t xml:space="preserve">  Plantilla necesaria: Carga de trabajo y disponibilidad </t>
  </si>
  <si>
    <t xml:space="preserve">  Coste empresarial de la plantilla </t>
  </si>
  <si>
    <t>Plan económico financiero</t>
  </si>
  <si>
    <t xml:space="preserve">  Inversiones en activos fijos </t>
  </si>
  <si>
    <t xml:space="preserve">  Hipótesis financieras </t>
  </si>
  <si>
    <t xml:space="preserve">  Cuenta de resultados provisional </t>
  </si>
  <si>
    <t xml:space="preserve">  Presupuesto de tesorería previsional </t>
  </si>
  <si>
    <t xml:space="preserve">  Balance provisional </t>
  </si>
  <si>
    <t xml:space="preserve">  Gastos de puesta en marcha </t>
  </si>
  <si>
    <t xml:space="preserve">  Financiación del proyecto: Necesidades </t>
  </si>
  <si>
    <t xml:space="preserve">  Financiación del proyecto: Fuentes </t>
  </si>
  <si>
    <t xml:space="preserve">  Análisis y viabilidad financiera </t>
  </si>
  <si>
    <t xml:space="preserve">  Análisis de sensibilidad: Escenarios </t>
  </si>
  <si>
    <t xml:space="preserve">  Valoración de la nueva empresa </t>
  </si>
  <si>
    <t>Aspectos jurídicos</t>
  </si>
  <si>
    <t xml:space="preserve">  Aspectos legales específicos del proyecto </t>
  </si>
  <si>
    <t xml:space="preserve">  Forma jurídica y estructura societaria </t>
  </si>
  <si>
    <t xml:space="preserve">  Órganos de gobierno </t>
  </si>
  <si>
    <t xml:space="preserve">  Pacto de socios </t>
  </si>
  <si>
    <t xml:space="preserve">  Protección propiedad intelectual e industrial </t>
  </si>
  <si>
    <t xml:space="preserve">  Planificación fiscal </t>
  </si>
  <si>
    <t>Riesgos y planes de contingencias</t>
  </si>
  <si>
    <t xml:space="preserve">  Riesgos y planes de contingencia </t>
  </si>
  <si>
    <t xml:space="preserve">  Matriz importancia / impacto en la empresa y solución prevista </t>
  </si>
  <si>
    <t>Cierre</t>
  </si>
  <si>
    <t xml:space="preserve">  Conclusiones finales </t>
  </si>
  <si>
    <t xml:space="preserve">  Referencias y biografía </t>
  </si>
  <si>
    <t xml:space="preserve">  Anexos </t>
  </si>
  <si>
    <t xml:space="preserve">  Pitch </t>
  </si>
  <si>
    <t xml:space="preserve">  Agradecimientos </t>
  </si>
  <si>
    <t xml:space="preserve">  Executive Summary </t>
  </si>
  <si>
    <t>Techno Land</t>
  </si>
  <si>
    <t xml:space="preserve">  Inteligencia Artificial </t>
  </si>
  <si>
    <t xml:space="preserve">  Internet of Things (IoT) </t>
  </si>
  <si>
    <t xml:space="preserve">  3D Printing </t>
  </si>
  <si>
    <t xml:space="preserve">  Machine learning </t>
  </si>
  <si>
    <t xml:space="preserve">  Robotics </t>
  </si>
  <si>
    <t xml:space="preserve">  Blockchain </t>
  </si>
  <si>
    <t xml:space="preserve">  Big Data </t>
  </si>
  <si>
    <t xml:space="preserve">  Realidad Aumentada </t>
  </si>
  <si>
    <t xml:space="preserve">  Industry 4.0 </t>
  </si>
  <si>
    <t xml:space="preserve">  Cyber Security y Cripto Currency </t>
  </si>
  <si>
    <t xml:space="preserve">  UX/UI (User experience/ User interface) </t>
  </si>
  <si>
    <t>Estaciones</t>
  </si>
  <si>
    <t>Documentos finales</t>
  </si>
  <si>
    <t>Adwords</t>
  </si>
  <si>
    <t>Tipo acciones</t>
  </si>
  <si>
    <t>Recursos</t>
  </si>
  <si>
    <t>Academia: desarrolle un Business Plan Profesional. 180 horas (de 4 a 9 semanas)</t>
  </si>
  <si>
    <t>Obligatorio</t>
  </si>
  <si>
    <t>Concepto Negocio ¿Que? Quien? Como?</t>
  </si>
  <si>
    <t>¿Cuál es la propuesta de valor de tu proyecto?</t>
  </si>
  <si>
    <t>¿Cuál es su segmento de clientes?</t>
  </si>
  <si>
    <t>¿Cómo llevarás a cabo tu modelo de negocio?</t>
  </si>
  <si>
    <t>Objetivos</t>
  </si>
  <si>
    <t>¿Cuál es la introducción del proyecto?</t>
  </si>
  <si>
    <t>Miembros de Expedición</t>
  </si>
  <si>
    <t>Nombre y apellidos emprendedor #1:</t>
  </si>
  <si>
    <t>Email emprendedor #1:</t>
  </si>
  <si>
    <t>Teléfono emprendedor #1:</t>
  </si>
  <si>
    <t>Background emprendedor #1:</t>
  </si>
  <si>
    <t>Foto emprendedor #1:</t>
  </si>
  <si>
    <t>Nombre y apellidos emprendedor #N:</t>
  </si>
  <si>
    <t>El cliente y el mercado</t>
  </si>
  <si>
    <t>¿Cuál es el problema o la necesidad del cliente que pretendes dar solución con el proyecto?</t>
  </si>
  <si>
    <t>¿Quién es el cliente/ usuario? Descripción y variables clave</t>
  </si>
  <si>
    <t>¿Cuáles son los objetivos de la investigación de mercados / encuestas / entrevistas?</t>
  </si>
  <si>
    <t>El sector: Análisis Externo</t>
  </si>
  <si>
    <t>¿Cuál es el entorno general de tu sector?</t>
  </si>
  <si>
    <t>¿Cuál es la cadena de valor?</t>
  </si>
  <si>
    <t>¿Cuáles son los proveedores y entrantes potenciales?</t>
  </si>
  <si>
    <t>¿Cuál es tu competencia o productos de sustitución?</t>
  </si>
  <si>
    <t>La ventana de oportunidad</t>
  </si>
  <si>
    <t>¿Cuál es el tamaño total de mercado, así como el segmento en el que se va a centrar la actividad de la empresa? Define el tamaño total del mercado del cual tu proyecto forma parte</t>
  </si>
  <si>
    <t>Análisis DAFO / SWOT</t>
  </si>
  <si>
    <t>¿Cuáles han sido las principales debilidades / amenazas / fortalezas / oportunidades del proyecto?</t>
  </si>
  <si>
    <t>Adecuación en el tiempo</t>
  </si>
  <si>
    <t>¿Cómo va a adecuarse en el tiempo la oportunidad del proyecto?</t>
  </si>
  <si>
    <t>Conclusiones análisis de la oportunidad</t>
  </si>
  <si>
    <t>Después de hacer todo el análisis de la oportunidad, ¿Cuál es la proyección que puede hacer de su sector?</t>
  </si>
  <si>
    <t>La propuesta de valor</t>
  </si>
  <si>
    <t>¿Cuál es el Business Canvas del proyecto?</t>
  </si>
  <si>
    <t>¿Cuál es la propuesta de valor del proyecto?</t>
  </si>
  <si>
    <t>¿Cuál es la oferta del producto / servicio?</t>
  </si>
  <si>
    <t>¿Cuáles son los elementos claves de diferenciación?</t>
  </si>
  <si>
    <t>¿Cuáles son los factores clave de éxito (F.C.E.) del producto/servicio?</t>
  </si>
  <si>
    <t>¿Cuál es la misión y la visión para el modelo de negocio?</t>
  </si>
  <si>
    <t>¿Cuáles son los valores corporativos y responsabilidad social?</t>
  </si>
  <si>
    <t>¿Cuál es la cadena de valor del sector y posicionamiento en ella del negocio?</t>
  </si>
  <si>
    <t>Segmentos de clientes</t>
  </si>
  <si>
    <t>¿Cuáles son los segmentos de clientes objetivos?</t>
  </si>
  <si>
    <t>Los canales de distribución y la relación con los clientes</t>
  </si>
  <si>
    <t>¿Cómo están faseadas las fases del canal de distribución del proyecto?</t>
  </si>
  <si>
    <t>¿Qué entes intervienen en el canal de distribución del producto / servicio?</t>
  </si>
  <si>
    <t>Fuentes y modelos de ingresos</t>
  </si>
  <si>
    <t>¿Qué fuentes de ingresos está percibiendo el proyecto?</t>
  </si>
  <si>
    <t>Las actividades clave</t>
  </si>
  <si>
    <t>¿Qué actividades requiere la propuesta de valor del proyecto?</t>
  </si>
  <si>
    <t>Los activos / recursos clave (tecnologías, competencias...)</t>
  </si>
  <si>
    <t>¿Qué recursos son indispensables para iniciar la operación de negocio?</t>
  </si>
  <si>
    <t>Los socios / asociaciones clave</t>
  </si>
  <si>
    <t>¿Quienes son los socios clave del negocio?</t>
  </si>
  <si>
    <t>¿Quienes son los proveedores clave?</t>
  </si>
  <si>
    <t>Los generadores de costes</t>
  </si>
  <si>
    <t>¿Cuáles son los costes / recursos clave / actividades más costosas del proyecto?</t>
  </si>
  <si>
    <t>Las inversiones necesarias</t>
  </si>
  <si>
    <t>¿Cuáles son las inversiones ( Activo, pasivo, gastos de puesta en marcha,...) para iniciar la actividad?</t>
  </si>
  <si>
    <t>Conclusiones Modelo de Negocio</t>
  </si>
  <si>
    <t>Después de hacer todo el análisis, ¿Cuál es la proyección que puede hacer del mercado?</t>
  </si>
  <si>
    <t>Elementos validados del modelo de negocio</t>
  </si>
  <si>
    <t>Añade los elementos validados del modelo de negocio</t>
  </si>
  <si>
    <t>¿Cuáles son las hipótesis que se querían probar con los estudios?</t>
  </si>
  <si>
    <t>Encuestas al público objetivo</t>
  </si>
  <si>
    <t>Número de encuestas realizadas</t>
  </si>
  <si>
    <t>Entrevistas o focus group de validación</t>
  </si>
  <si>
    <t>¿Qué conclusiones puede hacer después de realizar el estudio?</t>
  </si>
  <si>
    <t>¿Se ha validado alguna de sus hipótesis?</t>
  </si>
  <si>
    <t>Formulario de encuestas cuantitativas a través de la red</t>
  </si>
  <si>
    <t>¿Cuáles son los resultados de la encuesta realizada?</t>
  </si>
  <si>
    <t>¿La encuesta comprobó alguna de sus hipótesis?</t>
  </si>
  <si>
    <t>Adjunte gráficas que respalden sus hallazgos.</t>
  </si>
  <si>
    <t>Producto mínimo viable (MVP) de validación a utilizar o utilizado</t>
  </si>
  <si>
    <t>¿Cuál es el PMV que implementará para hacer las pruebas con su cliente objetivo?</t>
  </si>
  <si>
    <t>Identificación de las incertidumbres/hipótesis más relevantes y pendientes de validar</t>
  </si>
  <si>
    <t>¿Después de hacer la prueba piloto con el PMV, encontró espacios de mejora?</t>
  </si>
  <si>
    <t>Opción estratégica seleccionada</t>
  </si>
  <si>
    <t>¿Que tipo de ventaja competitiva ha escogido para su negocio?</t>
  </si>
  <si>
    <t>¿Cuales son las fases del plan estratégico?</t>
  </si>
  <si>
    <t>Aplicación de la matriz de Ansoff</t>
  </si>
  <si>
    <t>Descripción Ventaja/s competitiva/s : Valoración, Sostenibildad</t>
  </si>
  <si>
    <t>¿Cuáles son las características que generan competitividad dentro de su negocio?</t>
  </si>
  <si>
    <t>Conclusiones del avance en la validación del modelo de negocio</t>
  </si>
  <si>
    <t>¿Logró alcanzar alguno de los objetivos que se propuso para su investigación?</t>
  </si>
  <si>
    <t>¿Cuál fue su descubrimiento más relevante?</t>
  </si>
  <si>
    <t>Plan marketing</t>
  </si>
  <si>
    <t>Política producto/s y/o Servicio/s</t>
  </si>
  <si>
    <t>¿Cuál es la marca del producto y cuáles son sus características?</t>
  </si>
  <si>
    <t>¿Cuáles son las funcionalidades y beneficios que ofrece el producto/servicio?</t>
  </si>
  <si>
    <t>¿Cuál es la etapa del ciclo de la vida del producto?</t>
  </si>
  <si>
    <t>Política precios</t>
  </si>
  <si>
    <t>¿Es su precio determinado de forma fija? (Sí/No) Argumentar el motivo</t>
  </si>
  <si>
    <t>¿Es afectado por la cantidad o calidad el producto?</t>
  </si>
  <si>
    <t>¿Es afectado por el tipo y las características de un segmento de mercado determinado?</t>
  </si>
  <si>
    <t>¿Es su precio negociado entre dos o más partes?</t>
  </si>
  <si>
    <t>¿Depende del inventario y del momento de la compra?</t>
  </si>
  <si>
    <t>¿Se establece dinámicamente en tiempo real en función de la oferta y la demanda?</t>
  </si>
  <si>
    <t>Política de la marca</t>
  </si>
  <si>
    <t>¿Cuáles son los elementos de identidad de tu marca?</t>
  </si>
  <si>
    <t>Resuma brevemente la descripción de los elementos de identidad de su marca.</t>
  </si>
  <si>
    <t>Plan de comunicación</t>
  </si>
  <si>
    <t>¿Cuál es el público objetivo al cual debe llegar la comunicación?</t>
  </si>
  <si>
    <t>¿En qué etapa del ciclo de vida del producto/servicio se debe hacer llegar información al público objetivo?</t>
  </si>
  <si>
    <t>¿Qué se debe comunicar?</t>
  </si>
  <si>
    <t>¿Cuál es el objetivo de la comunicación?</t>
  </si>
  <si>
    <t>Defina los medios para llevar a cabo la comunicación sobre el producto/servicio al público objetivo</t>
  </si>
  <si>
    <t>Política de distribución y venta</t>
  </si>
  <si>
    <t>¿Requiere su producto o servicio un canal directo o indirecto?</t>
  </si>
  <si>
    <t>¿Cuántas etapas tiene su canal de distribución?</t>
  </si>
  <si>
    <t>¿Quienes forman parte de su canal?</t>
  </si>
  <si>
    <t>Estimación del CAC y el LTV</t>
  </si>
  <si>
    <t>Información a rellenar para obtener el CAC y el LTV</t>
  </si>
  <si>
    <t>Margen de utilidad por cliente</t>
  </si>
  <si>
    <t>Promedio de vida del cliente</t>
  </si>
  <si>
    <t>Promedio de compra</t>
  </si>
  <si>
    <t>Frecuencia de la compra</t>
  </si>
  <si>
    <t>Porcentaje de retención del clientes</t>
  </si>
  <si>
    <t>Porcentaje de descuento</t>
  </si>
  <si>
    <t>Costos de ventas y marketing</t>
  </si>
  <si>
    <t>Número de nuevos clientes</t>
  </si>
  <si>
    <t>Fijación objetivos comerciales: Matriz producto / mercado</t>
  </si>
  <si>
    <t>Define los objetivos comerciales (previsión y ventas)</t>
  </si>
  <si>
    <t>Plan operaciones y sistemas información</t>
  </si>
  <si>
    <t>Descripción, análisis y valoración: activos no corrientes</t>
  </si>
  <si>
    <t>¿Cuáles son los recursos materiales permanentes de su negocio?</t>
  </si>
  <si>
    <t>Identificación y mapa de procesos</t>
  </si>
  <si>
    <t>Adjunta el mapa de procesos de la operación</t>
  </si>
  <si>
    <t>Resuma brevemente la descripción del mapa de procesos de la operación.</t>
  </si>
  <si>
    <t>Política compras y stocks: Aspectos relevantes</t>
  </si>
  <si>
    <t>¿Qué estrategia se implementará para la gestión del inventario?</t>
  </si>
  <si>
    <t>Política de producción</t>
  </si>
  <si>
    <t>Describe el proceso productivo (Carga de trabajo y disponibilidad).</t>
  </si>
  <si>
    <t>Nivel de servicios</t>
  </si>
  <si>
    <t>¿Cuales son los plazos de entrega?</t>
  </si>
  <si>
    <t>¿Cuales son los horarios de entrega?</t>
  </si>
  <si>
    <t>Logística: Aspectos Relevantes</t>
  </si>
  <si>
    <t>¿Cuál es la gestión logística de los diferentes agentes que afectan al proyecto?</t>
  </si>
  <si>
    <t>¿Quienes intervienen en este proceso?</t>
  </si>
  <si>
    <t>Subcontratación estructural</t>
  </si>
  <si>
    <t>¿El proyecto va a requerir de subcontratación?</t>
  </si>
  <si>
    <t>Análisis costes unitarios: Escandallos</t>
  </si>
  <si>
    <t>¿Cuál es la gestión logística de los diferentes agentes que afectan su operación?</t>
  </si>
  <si>
    <t>¿De qué forma afectarán estos costes la fijación de precios?</t>
  </si>
  <si>
    <t>¿Afectará otra actividad esta proyección?</t>
  </si>
  <si>
    <t>Política calidad y riesgos</t>
  </si>
  <si>
    <t>¿Cuál es su Política de Calidad?</t>
  </si>
  <si>
    <t>¿Cuáles son los objetivos estratégicos de calidad para el modelo de negocio?</t>
  </si>
  <si>
    <t>Plan recursos humanos</t>
  </si>
  <si>
    <t>Estructura organizativa, órganos de dirección</t>
  </si>
  <si>
    <t>¿Cuáles es la estructura de los departamentos de la empresa?</t>
  </si>
  <si>
    <t>Políticas recursos humanos</t>
  </si>
  <si>
    <t>¿Cuáles son los parámetros para la selección, formación, retribución, valoración, desempeño y crecimiento personal?</t>
  </si>
  <si>
    <t>Descripción posiciones y funciones</t>
  </si>
  <si>
    <t>¿Qué responsabilidades, perfiles y requisitos tienen las diferentes posiciones del equipo que conforma tu negocio?</t>
  </si>
  <si>
    <t>¿Se requiere alguna habilidad, experiencia previa o cualificación determinada?</t>
  </si>
  <si>
    <t>Plantilla necesaria: Carga de trabajo y disponibilidad</t>
  </si>
  <si>
    <t>¿Que carga de trabajo y tipo de contracto tienen las diferentes posiciones del equipo que conforma su negocio?</t>
  </si>
  <si>
    <t>Coste empresarial de la plantilla</t>
  </si>
  <si>
    <t>¿Cuál es el salario del empleado?  (salario base, complementos salariales, pagas extras, las vacaciones, horas extras, salario en especie, atrasos, etc)</t>
  </si>
  <si>
    <t>¿De cuánto es el coste de la seguridad social de la empresa?</t>
  </si>
  <si>
    <t>¿Cuántos fondos dispone la empresa destinados a imprevistos? (indemnizaciones, bajas, despidos, absentismo, etc)</t>
  </si>
  <si>
    <t>¿Presupuesto de formación, seguridad y salud en el trabajo?</t>
  </si>
  <si>
    <t>¿Coste de herramientas y inmobilizado?</t>
  </si>
  <si>
    <t>Inversiones en activos fijos</t>
  </si>
  <si>
    <t>¿Qué inversiones en activos fijos realizará en su proyecto?</t>
  </si>
  <si>
    <t>Hipótesis financieras</t>
  </si>
  <si>
    <t>¿Cuáles son las hipótesis financieras de su proyecto?</t>
  </si>
  <si>
    <t>Cuenta de resultados provisional</t>
  </si>
  <si>
    <t>¿Cuál es la cuenta de resultados del proyecto?</t>
  </si>
  <si>
    <t>Presupuesto de tesorería previsional</t>
  </si>
  <si>
    <t>Añadir el presupuesto de tesorería previsional</t>
  </si>
  <si>
    <t>Balance provisional</t>
  </si>
  <si>
    <t>Adjuntar el balance provisional</t>
  </si>
  <si>
    <t>Gastos de puesta en marcha</t>
  </si>
  <si>
    <t>¿Cuál es el valor de los gastos necesarios para empezar?</t>
  </si>
  <si>
    <t>Financiación del proyecto: Necesidades</t>
  </si>
  <si>
    <t>¿Cuáles son las necesidades de financiación?( adquisición de activo no corriente, Stock…)</t>
  </si>
  <si>
    <t>Financiación del proyecto: Fuentes</t>
  </si>
  <si>
    <t>¿Cuáles serán sus principales fuentes de financiamiento?</t>
  </si>
  <si>
    <t>¿En qué porcentaje financiarán su proyecto?</t>
  </si>
  <si>
    <t>Análisis y viabilidad financiera</t>
  </si>
  <si>
    <t>Adjunta el análisis de viabilidad</t>
  </si>
  <si>
    <t>Análisis de sensibilidad: Escenarios</t>
  </si>
  <si>
    <t>¿Cuales son las características y riesgos de un escenario pesimista, probable y optimista?</t>
  </si>
  <si>
    <t>Valoración de la nueva empresa</t>
  </si>
  <si>
    <t>¿Cuál es el valor de la nueva empresa?</t>
  </si>
  <si>
    <t>Aspectos legales específicos del proyecto</t>
  </si>
  <si>
    <t>¿Qué tramites legales conlleva la constitución de su empresa?</t>
  </si>
  <si>
    <t>Forma jurídica y estructura societaria</t>
  </si>
  <si>
    <t>¿Qué tipo de sociedad requiere?</t>
  </si>
  <si>
    <t>¿Qué porcentaje de participación tiene cada socio?</t>
  </si>
  <si>
    <t>¿Qué capital se ha introducido en el negocio y de quién?</t>
  </si>
  <si>
    <t>Órganos de gobierno</t>
  </si>
  <si>
    <t>Adjunte la descripción de la estructura de gobierno y control en la sociedad.</t>
  </si>
  <si>
    <t>Pacto de socios</t>
  </si>
  <si>
    <t>Adjuntar el pacto de socios</t>
  </si>
  <si>
    <t>Protección propiedad intelectual e industrial</t>
  </si>
  <si>
    <t>¿Qué proceso implementará en su negocio para la protección y mantenimiento de derechos de propiedad intelectual por parte de su empresa?</t>
  </si>
  <si>
    <t>Planificación fiscal</t>
  </si>
  <si>
    <t>¿Qué tanto impacto tiene la normativa en su negocio?</t>
  </si>
  <si>
    <t>¿Cuenta con algún beneficio fiscal?</t>
  </si>
  <si>
    <t>¿Cuál es el costo impositivo para su negocio?</t>
  </si>
  <si>
    <t>Riesgos y planes de contingencia</t>
  </si>
  <si>
    <t>Identifique los riesgos del proyecto</t>
  </si>
  <si>
    <t>Define los umbrales de riesgo del proyecto</t>
  </si>
  <si>
    <t>Matriz importancia / impacto en la empresa y solución prevista</t>
  </si>
  <si>
    <t>Suba su matriz de probabilidad e impacto de los riesgos</t>
  </si>
  <si>
    <t>Suba su plan de respuesta a los riesgos</t>
  </si>
  <si>
    <t>Conclusiones finales</t>
  </si>
  <si>
    <t>Adjuntar las conclusiones finales del proyecto tras el viaje de Aceleralia</t>
  </si>
  <si>
    <t>Referencias y biografía</t>
  </si>
  <si>
    <t>Añadir las referencias</t>
  </si>
  <si>
    <t xml:space="preserve">Añadir la webgrafía
</t>
  </si>
  <si>
    <t>Añadir libros de interés</t>
  </si>
  <si>
    <t xml:space="preserve">Añadir la filmografía
¿Qué vídeos se han utilizado para la elaboración del proyecto?
</t>
  </si>
  <si>
    <t>Anexos</t>
  </si>
  <si>
    <t>Suba los anexos en formato PDF a su servicio Cloud de preferencia</t>
  </si>
  <si>
    <t>Pegue aquí el enlace de descarga del archivo</t>
  </si>
  <si>
    <t>¿ Cuál es el título del Anexo?</t>
  </si>
  <si>
    <t>¿De que trata el Anexo?</t>
  </si>
  <si>
    <t>Pitch</t>
  </si>
  <si>
    <t xml:space="preserve">Suba el Pitch en formato PDF a su servicio Cloud de preferencia </t>
  </si>
  <si>
    <t xml:space="preserve">Pegue aquí el enlace de descarga del archivo </t>
  </si>
  <si>
    <t xml:space="preserve">¿Cuál es el título del Pitch? </t>
  </si>
  <si>
    <t xml:space="preserve"> Desarrolle una breve descripción de lo que trata el Pitch</t>
  </si>
  <si>
    <t>Agradecimientos</t>
  </si>
  <si>
    <t>Añade sus agradecimientos</t>
  </si>
  <si>
    <t>Executive Summary</t>
  </si>
  <si>
    <t>Inserta tu executive summary en formato JPEG</t>
  </si>
  <si>
    <t>R</t>
  </si>
  <si>
    <t>ESTACIONES</t>
  </si>
  <si>
    <t>SOLUCIONES</t>
  </si>
  <si>
    <t>PREGUNTAS A CONTESTAR</t>
  </si>
  <si>
    <t>CAC - LTV</t>
  </si>
  <si>
    <t>Buenas y malas prácticas</t>
  </si>
  <si>
    <t>Pagos a corto (Proveedores)</t>
  </si>
  <si>
    <t>Pagos a corto proveedores</t>
  </si>
  <si>
    <t>Pagos a corto hacienda</t>
  </si>
  <si>
    <t xml:space="preserve">¿Has de realizar algún contrato mercantil? </t>
  </si>
  <si>
    <t>Marketing y ventas</t>
  </si>
  <si>
    <t>Legal y fiscal</t>
  </si>
  <si>
    <t>Puntos fuertes y débiles de los promotores y directivos</t>
  </si>
  <si>
    <t>¿Tienes previsto un Plan de Contingencias de posibles amenazas?</t>
  </si>
  <si>
    <t>Con cuántos clientes cubres el 80% de facturación</t>
  </si>
  <si>
    <t>¿Consideras que tienes validado tus segmentos y público objetivo?</t>
  </si>
  <si>
    <t>¿Tienes realizado un cuadro de posicionamiento?</t>
  </si>
  <si>
    <t>¿Tienes definido un Plan de innovación y/o digitalización?</t>
  </si>
  <si>
    <t>Resultado antes imp.</t>
  </si>
  <si>
    <t>AÑO ANTERIOR</t>
  </si>
  <si>
    <t>Total gastos fijos</t>
  </si>
  <si>
    <t>Itinerario StarUps</t>
  </si>
  <si>
    <r>
      <t xml:space="preserve">Para cumplimentar el Plan de Viabilidad solicitar cita previa en nuestra web a través de este </t>
    </r>
    <r>
      <rPr>
        <sz val="10"/>
        <color rgb="FFFF0000"/>
        <rFont val="Calibri"/>
        <family val="2"/>
      </rPr>
      <t>enlace</t>
    </r>
  </si>
  <si>
    <t>PLAN DE VIABILIDAD</t>
  </si>
  <si>
    <t>IRPF Empresario individual en estimación directa</t>
  </si>
  <si>
    <t>% IRPF</t>
  </si>
  <si>
    <t>Resumen datos 12 primeros meses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</si>
</sst>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2" formatCode="_-* #,##0\ &quot;€&quot;_-;\-* #,##0\ &quot;€&quot;_-;_-* &quot;-&quot;\ &quot;€&quot;_-;_-@_-"/>
    <numFmt numFmtId="164" formatCode="_(* #,##0.00_);_(* \(#,##0.00\);_(* &quot;-&quot;??_);_(@_)"/>
    <numFmt numFmtId="165" formatCode="0.0%"/>
    <numFmt numFmtId="166" formatCode="0\ &quot;días&quot;"/>
    <numFmt numFmtId="167" formatCode="mmm"/>
    <numFmt numFmtId="168" formatCode="0\ &quot;d&quot;"/>
    <numFmt numFmtId="169" formatCode="[$-C0A]mmm\-yy;@"/>
    <numFmt numFmtId="170" formatCode="#,##0_ ;\-#,##0\ "/>
    <numFmt numFmtId="171" formatCode="mmmm"/>
    <numFmt numFmtId="172" formatCode="_(* #,##0_);_(* \(#,##0\);_(* &quot;-&quot;_);_(@_)"/>
    <numFmt numFmtId="173" formatCode="dd\-mm\-yy;@"/>
    <numFmt numFmtId="174" formatCode="&quot;TOTAL&quot;\ 0"/>
    <numFmt numFmtId="175" formatCode="#,##0\ &quot;Min&quot;"/>
    <numFmt numFmtId="176" formatCode="#,##0.0"/>
    <numFmt numFmtId="177" formatCode="#,##0\ &quot;€&quot;"/>
    <numFmt numFmtId="178" formatCode="yyyy"/>
    <numFmt numFmtId="179" formatCode="[$-F800]dddd\,\ mmmm\ dd\,\ yyyy"/>
    <numFmt numFmtId="180" formatCode="#,##0.00\ &quot;€&quot;"/>
    <numFmt numFmtId="181" formatCode="0.0"/>
    <numFmt numFmtId="182" formatCode="0\ &quot;Meses&quot;"/>
    <numFmt numFmtId="183" formatCode="_(* #,##0_);_(* \(#,##0\);_(* &quot;-&quot;??_);_(@_)"/>
    <numFmt numFmtId="184" formatCode="mmm\,\ yyyy"/>
  </numFmts>
  <fonts count="1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rgb="FF333333"/>
      <name val="Inherit"/>
    </font>
    <font>
      <sz val="14"/>
      <color theme="1"/>
      <name val="Calibri"/>
      <family val="2"/>
      <scheme val="minor"/>
    </font>
    <font>
      <b/>
      <sz val="8"/>
      <color rgb="FF333333"/>
      <name val="Inherit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indexed="8"/>
      <name val="Arial"/>
      <family val="2"/>
    </font>
    <font>
      <b/>
      <sz val="9"/>
      <color indexed="10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indexed="9"/>
      <name val="Arial"/>
      <family val="2"/>
    </font>
    <font>
      <u/>
      <sz val="14"/>
      <color theme="10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6"/>
      <color theme="1"/>
      <name val="Verdana"/>
      <family val="2"/>
    </font>
    <font>
      <sz val="14"/>
      <color theme="1"/>
      <name val="Verdana"/>
      <family val="2"/>
    </font>
    <font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Verdana"/>
      <family val="2"/>
    </font>
    <font>
      <sz val="14"/>
      <name val="Verdana"/>
      <family val="2"/>
    </font>
    <font>
      <sz val="1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2"/>
      <color theme="0"/>
      <name val="Verdana"/>
      <family val="2"/>
    </font>
    <font>
      <sz val="12"/>
      <color theme="1"/>
      <name val="Verdana"/>
      <family val="2"/>
    </font>
    <font>
      <b/>
      <sz val="12"/>
      <color theme="1"/>
      <name val="Verdana"/>
      <family val="2"/>
    </font>
    <font>
      <b/>
      <sz val="12"/>
      <color rgb="FF000000"/>
      <name val="Verdana"/>
      <family val="2"/>
    </font>
    <font>
      <b/>
      <sz val="12"/>
      <color rgb="FF808080"/>
      <name val="Verdana"/>
      <family val="2"/>
    </font>
    <font>
      <sz val="12"/>
      <color rgb="FF000000"/>
      <name val="Verdana"/>
      <family val="2"/>
    </font>
    <font>
      <b/>
      <sz val="12"/>
      <name val="Verdana"/>
      <family val="2"/>
    </font>
    <font>
      <i/>
      <sz val="12"/>
      <color theme="1"/>
      <name val="Verdana"/>
      <family val="2"/>
    </font>
    <font>
      <sz val="9"/>
      <name val="Calibri"/>
      <family val="2"/>
      <scheme val="minor"/>
    </font>
    <font>
      <sz val="12"/>
      <color theme="1"/>
      <name val="Calibri"/>
      <family val="2"/>
      <charset val="134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Verdana"/>
      <family val="2"/>
    </font>
    <font>
      <b/>
      <sz val="10"/>
      <color theme="0"/>
      <name val="Verdana"/>
      <family val="2"/>
    </font>
    <font>
      <sz val="10"/>
      <color theme="1"/>
      <name val="Verdana"/>
      <family val="2"/>
    </font>
    <font>
      <b/>
      <u/>
      <sz val="18"/>
      <color theme="0"/>
      <name val="Calibri"/>
      <family val="2"/>
      <scheme val="minor"/>
    </font>
    <font>
      <b/>
      <sz val="10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sz val="8"/>
      <color theme="1"/>
      <name val="Verdana"/>
      <family val="2"/>
    </font>
    <font>
      <b/>
      <sz val="9"/>
      <name val="Verdana"/>
      <family val="2"/>
    </font>
    <font>
      <sz val="9"/>
      <color theme="1"/>
      <name val="Verdana"/>
      <family val="2"/>
    </font>
    <font>
      <sz val="14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6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2"/>
      <name val="Verdana"/>
      <family val="2"/>
    </font>
    <font>
      <b/>
      <sz val="12"/>
      <color theme="0" tint="-0.499984740745262"/>
      <name val="Verdana"/>
      <family val="2"/>
    </font>
    <font>
      <sz val="16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9"/>
      <color theme="3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i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sz val="8"/>
      <color theme="1"/>
      <name val="Calibri"/>
      <family val="2"/>
    </font>
    <font>
      <sz val="11"/>
      <color rgb="FF000000"/>
      <name val="Open_sansregular"/>
    </font>
    <font>
      <b/>
      <u/>
      <sz val="12"/>
      <color theme="1"/>
      <name val="Calibri"/>
      <family val="2"/>
      <scheme val="minor"/>
    </font>
    <font>
      <sz val="12"/>
      <color rgb="FF222222"/>
      <name val="Arial"/>
      <family val="2"/>
    </font>
    <font>
      <b/>
      <sz val="12"/>
      <color theme="10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0.5"/>
      <color rgb="FFC00000"/>
      <name val="Calibri"/>
      <family val="2"/>
      <scheme val="minor"/>
    </font>
    <font>
      <b/>
      <sz val="10.5"/>
      <color rgb="FF000000"/>
      <name val="Calibri"/>
      <family val="2"/>
      <scheme val="minor"/>
    </font>
    <font>
      <sz val="10.5"/>
      <color rgb="FFC00000"/>
      <name val="Calibri"/>
      <family val="2"/>
      <scheme val="minor"/>
    </font>
    <font>
      <sz val="7"/>
      <color rgb="FFC00000"/>
      <name val="Calibri"/>
      <family val="2"/>
      <scheme val="minor"/>
    </font>
    <font>
      <sz val="10.5"/>
      <color rgb="FF000000"/>
      <name val="Calibri"/>
      <family val="2"/>
      <scheme val="minor"/>
    </font>
    <font>
      <sz val="7"/>
      <color rgb="FF000000"/>
      <name val="Calibri"/>
      <family val="2"/>
      <scheme val="minor"/>
    </font>
    <font>
      <sz val="18"/>
      <color theme="1"/>
      <name val="Calibri"/>
      <family val="2"/>
      <scheme val="minor"/>
    </font>
    <font>
      <sz val="48"/>
      <color theme="9"/>
      <name val="Calibri"/>
      <family val="2"/>
      <scheme val="minor"/>
    </font>
    <font>
      <sz val="36"/>
      <color theme="9"/>
      <name val="Calibri"/>
      <family val="2"/>
      <scheme val="minor"/>
    </font>
    <font>
      <b/>
      <sz val="36"/>
      <color theme="9" tint="-0.249977111117893"/>
      <name val="Calibri"/>
      <family val="2"/>
      <scheme val="minor"/>
    </font>
    <font>
      <sz val="36"/>
      <color theme="3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9"/>
      <color rgb="FF7030A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1"/>
      <color rgb="FF333333"/>
      <name val="Arial"/>
      <family val="2"/>
    </font>
    <font>
      <b/>
      <sz val="18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rgb="FF0095DD"/>
      <name val="Arial"/>
      <family val="2"/>
    </font>
    <font>
      <sz val="10"/>
      <color theme="1"/>
      <name val="Calibri"/>
      <family val="2"/>
    </font>
    <font>
      <b/>
      <sz val="9"/>
      <color theme="1"/>
      <name val="Calibri"/>
      <family val="2"/>
    </font>
    <font>
      <b/>
      <sz val="10"/>
      <name val="Calibri"/>
      <family val="2"/>
      <scheme val="minor"/>
    </font>
    <font>
      <b/>
      <sz val="10.199999999999999"/>
      <name val="Calibri"/>
      <family val="2"/>
    </font>
    <font>
      <sz val="11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8"/>
      <name val="Verdana"/>
      <family val="2"/>
    </font>
    <font>
      <sz val="9"/>
      <color theme="3"/>
      <name val="Calibri"/>
      <family val="2"/>
      <scheme val="minor"/>
    </font>
    <font>
      <sz val="12"/>
      <color theme="3"/>
      <name val="Verdana"/>
      <family val="2"/>
    </font>
    <font>
      <sz val="12"/>
      <color theme="3"/>
      <name val="Calibri"/>
      <family val="2"/>
      <scheme val="minor"/>
    </font>
    <font>
      <b/>
      <sz val="16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sz val="10"/>
      <color theme="3"/>
      <name val="Verdana"/>
      <family val="2"/>
    </font>
    <font>
      <b/>
      <sz val="12"/>
      <color rgb="FF000000"/>
      <name val="Calibri"/>
      <family val="2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0"/>
      <color theme="10"/>
      <name val="Calibri"/>
      <family val="2"/>
      <scheme val="minor"/>
    </font>
    <font>
      <sz val="10"/>
      <color rgb="FFFF0000"/>
      <name val="Calibri"/>
      <family val="2"/>
    </font>
    <font>
      <b/>
      <sz val="36"/>
      <color rgb="FFFFCC00"/>
      <name val="Verdana"/>
      <family val="2"/>
    </font>
  </fonts>
  <fills count="4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0"/>
      </patternFill>
    </fill>
    <fill>
      <patternFill patternType="solid">
        <fgColor theme="4" tint="0.79998168889431442"/>
        <bgColor indexed="61"/>
      </patternFill>
    </fill>
    <fill>
      <patternFill patternType="solid">
        <fgColor theme="0"/>
        <bgColor theme="0"/>
      </patternFill>
    </fill>
    <fill>
      <patternFill patternType="solid">
        <fgColor theme="0"/>
        <bgColor theme="4" tint="0.79998168889431442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0"/>
      </patternFill>
    </fill>
    <fill>
      <patternFill patternType="solid">
        <fgColor theme="2" tint="-0.749992370372631"/>
        <bgColor theme="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BE5E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theme="0"/>
      </patternFill>
    </fill>
    <fill>
      <patternFill patternType="solid">
        <fgColor theme="4" tint="0.39997558519241921"/>
        <bgColor theme="0"/>
      </patternFill>
    </fill>
    <fill>
      <patternFill patternType="solid">
        <fgColor theme="0" tint="-0.249977111117893"/>
        <bgColor theme="0"/>
      </patternFill>
    </fill>
    <fill>
      <patternFill patternType="solid">
        <fgColor theme="4"/>
        <bgColor theme="0"/>
      </patternFill>
    </fill>
    <fill>
      <patternFill patternType="solid">
        <fgColor rgb="FFFFFF00"/>
        <bgColor theme="0"/>
      </patternFill>
    </fill>
    <fill>
      <patternFill patternType="solid">
        <fgColor indexed="65"/>
        <bgColor auto="1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theme="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theme="0"/>
      </patternFill>
    </fill>
    <fill>
      <patternFill patternType="solid">
        <fgColor theme="3" tint="0.39997558519241921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0" tint="-0.14999847407452621"/>
        <bgColor theme="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theme="0"/>
      </patternFill>
    </fill>
    <fill>
      <patternFill patternType="solid">
        <fgColor theme="8" tint="0.39997558519241921"/>
        <bgColor indexed="64"/>
      </patternFill>
    </fill>
  </fills>
  <borders count="148">
    <border>
      <left/>
      <right/>
      <top/>
      <bottom/>
      <diagonal/>
    </border>
    <border>
      <left/>
      <right style="medium">
        <color rgb="FFF2F2F2"/>
      </right>
      <top/>
      <bottom style="medium">
        <color rgb="FFF2F2F2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thin">
        <color theme="4" tint="0.39997558519241921"/>
      </left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4"/>
      </bottom>
      <diagonal/>
    </border>
    <border>
      <left/>
      <right/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medium">
        <color indexed="64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indexed="64"/>
      </right>
      <top style="medium">
        <color theme="0"/>
      </top>
      <bottom/>
      <diagonal/>
    </border>
    <border>
      <left style="medium">
        <color indexed="64"/>
      </left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/>
      <right/>
      <top style="thin">
        <color theme="3" tint="-0.249977111117893"/>
      </top>
      <bottom/>
      <diagonal/>
    </border>
    <border>
      <left/>
      <right/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/>
      <bottom/>
      <diagonal/>
    </border>
    <border>
      <left/>
      <right/>
      <top/>
      <bottom style="thin">
        <color theme="3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theme="0"/>
      </left>
      <right/>
      <top/>
      <bottom style="thin">
        <color theme="0"/>
      </bottom>
      <diagonal/>
    </border>
    <border>
      <left/>
      <right style="medium">
        <color theme="0"/>
      </right>
      <top/>
      <bottom style="thin">
        <color theme="0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/>
      <top style="medium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50" fillId="0" borderId="0"/>
    <xf numFmtId="0" fontId="51" fillId="0" borderId="0" applyNumberFormat="0" applyFill="0" applyBorder="0" applyAlignment="0" applyProtection="0"/>
  </cellStyleXfs>
  <cellXfs count="1420">
    <xf numFmtId="0" fontId="0" fillId="0" borderId="0" xfId="0"/>
    <xf numFmtId="0" fontId="4" fillId="5" borderId="1" xfId="0" applyFont="1" applyFill="1" applyBorder="1" applyAlignment="1">
      <alignment horizontal="left" vertical="top" wrapText="1" indent="2"/>
    </xf>
    <xf numFmtId="0" fontId="3" fillId="3" borderId="2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left" vertical="center" wrapText="1" indent="2"/>
    </xf>
    <xf numFmtId="165" fontId="0" fillId="0" borderId="0" xfId="1" applyNumberFormat="1" applyFont="1"/>
    <xf numFmtId="0" fontId="0" fillId="7" borderId="0" xfId="0" applyFill="1"/>
    <xf numFmtId="0" fontId="5" fillId="7" borderId="0" xfId="0" applyFont="1" applyFill="1" applyBorder="1"/>
    <xf numFmtId="0" fontId="5" fillId="7" borderId="0" xfId="0" applyFont="1" applyFill="1"/>
    <xf numFmtId="3" fontId="0" fillId="7" borderId="0" xfId="0" applyNumberFormat="1" applyFill="1"/>
    <xf numFmtId="3" fontId="8" fillId="4" borderId="4" xfId="0" applyNumberFormat="1" applyFont="1" applyFill="1" applyBorder="1" applyAlignment="1" applyProtection="1">
      <protection locked="0"/>
    </xf>
    <xf numFmtId="0" fontId="3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 applyProtection="1">
      <protection locked="0"/>
    </xf>
    <xf numFmtId="166" fontId="1" fillId="0" borderId="0" xfId="1" applyNumberFormat="1" applyFont="1"/>
    <xf numFmtId="0" fontId="8" fillId="7" borderId="0" xfId="0" applyFont="1" applyFill="1"/>
    <xf numFmtId="167" fontId="3" fillId="8" borderId="32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0" xfId="0" applyNumberFormat="1" applyFont="1" applyFill="1"/>
    <xf numFmtId="167" fontId="9" fillId="8" borderId="32" xfId="0" applyNumberFormat="1" applyFont="1" applyFill="1" applyBorder="1" applyAlignment="1" applyProtection="1">
      <alignment horizontal="center" vertical="center" wrapText="1"/>
      <protection locked="0"/>
    </xf>
    <xf numFmtId="0" fontId="7" fillId="4" borderId="0" xfId="0" applyFont="1" applyFill="1" applyAlignment="1">
      <alignment horizontal="center" wrapText="1"/>
    </xf>
    <xf numFmtId="49" fontId="5" fillId="2" borderId="4" xfId="0" applyNumberFormat="1" applyFont="1" applyFill="1" applyBorder="1" applyAlignment="1" applyProtection="1">
      <alignment horizontal="left"/>
      <protection locked="0"/>
    </xf>
    <xf numFmtId="3" fontId="5" fillId="7" borderId="0" xfId="0" applyNumberFormat="1" applyFont="1" applyFill="1"/>
    <xf numFmtId="0" fontId="5" fillId="0" borderId="0" xfId="0" applyFont="1"/>
    <xf numFmtId="49" fontId="5" fillId="0" borderId="0" xfId="0" applyNumberFormat="1" applyFont="1"/>
    <xf numFmtId="168" fontId="5" fillId="0" borderId="0" xfId="0" applyNumberFormat="1" applyFont="1"/>
    <xf numFmtId="3" fontId="5" fillId="0" borderId="0" xfId="0" applyNumberFormat="1" applyFont="1" applyAlignment="1">
      <alignment horizontal="center"/>
    </xf>
    <xf numFmtId="3" fontId="5" fillId="4" borderId="0" xfId="0" applyNumberFormat="1" applyFont="1" applyFill="1" applyAlignment="1">
      <alignment horizontal="center"/>
    </xf>
    <xf numFmtId="0" fontId="7" fillId="0" borderId="0" xfId="0" applyFont="1"/>
    <xf numFmtId="3" fontId="7" fillId="0" borderId="0" xfId="0" applyNumberFormat="1" applyFont="1" applyAlignment="1">
      <alignment horizontal="center"/>
    </xf>
    <xf numFmtId="3" fontId="7" fillId="4" borderId="0" xfId="0" applyNumberFormat="1" applyFont="1" applyFill="1" applyAlignment="1">
      <alignment horizontal="center"/>
    </xf>
    <xf numFmtId="168" fontId="7" fillId="0" borderId="0" xfId="0" applyNumberFormat="1" applyFont="1"/>
    <xf numFmtId="9" fontId="5" fillId="0" borderId="0" xfId="1" applyFont="1"/>
    <xf numFmtId="3" fontId="5" fillId="0" borderId="0" xfId="0" applyNumberFormat="1" applyFont="1"/>
    <xf numFmtId="9" fontId="8" fillId="4" borderId="4" xfId="1" applyNumberFormat="1" applyFont="1" applyFill="1" applyBorder="1" applyAlignment="1" applyProtection="1">
      <protection locked="0"/>
    </xf>
    <xf numFmtId="0" fontId="5" fillId="9" borderId="0" xfId="0" applyFont="1" applyFill="1" applyBorder="1"/>
    <xf numFmtId="0" fontId="5" fillId="2" borderId="0" xfId="0" applyFont="1" applyFill="1" applyProtection="1"/>
    <xf numFmtId="0" fontId="5" fillId="2" borderId="0" xfId="0" applyFont="1" applyFill="1"/>
    <xf numFmtId="0" fontId="0" fillId="2" borderId="0" xfId="0" applyFill="1" applyProtection="1"/>
    <xf numFmtId="3" fontId="12" fillId="2" borderId="6" xfId="0" applyNumberFormat="1" applyFont="1" applyFill="1" applyBorder="1" applyProtection="1"/>
    <xf numFmtId="4" fontId="13" fillId="2" borderId="7" xfId="0" applyNumberFormat="1" applyFont="1" applyFill="1" applyBorder="1" applyAlignment="1" applyProtection="1">
      <alignment horizontal="center"/>
      <protection locked="0"/>
    </xf>
    <xf numFmtId="3" fontId="12" fillId="2" borderId="8" xfId="0" applyNumberFormat="1" applyFont="1" applyFill="1" applyBorder="1" applyProtection="1"/>
    <xf numFmtId="10" fontId="14" fillId="2" borderId="9" xfId="0" applyNumberFormat="1" applyFont="1" applyFill="1" applyBorder="1" applyAlignment="1" applyProtection="1">
      <alignment horizontal="center"/>
      <protection locked="0"/>
    </xf>
    <xf numFmtId="10" fontId="15" fillId="2" borderId="7" xfId="0" applyNumberFormat="1" applyFont="1" applyFill="1" applyBorder="1" applyAlignment="1" applyProtection="1">
      <alignment horizontal="center"/>
    </xf>
    <xf numFmtId="0" fontId="14" fillId="2" borderId="9" xfId="0" applyFont="1" applyFill="1" applyBorder="1" applyAlignment="1" applyProtection="1">
      <alignment horizontal="center"/>
      <protection locked="0"/>
    </xf>
    <xf numFmtId="0" fontId="15" fillId="2" borderId="10" xfId="0" applyFont="1" applyFill="1" applyBorder="1" applyAlignment="1" applyProtection="1">
      <alignment horizontal="center"/>
    </xf>
    <xf numFmtId="0" fontId="14" fillId="2" borderId="9" xfId="0" applyFont="1" applyFill="1" applyBorder="1" applyAlignment="1" applyProtection="1">
      <alignment horizontal="center"/>
    </xf>
    <xf numFmtId="0" fontId="16" fillId="2" borderId="11" xfId="0" applyFont="1" applyFill="1" applyBorder="1" applyAlignment="1" applyProtection="1">
      <alignment horizontal="center"/>
    </xf>
    <xf numFmtId="3" fontId="12" fillId="2" borderId="12" xfId="0" applyNumberFormat="1" applyFont="1" applyFill="1" applyBorder="1" applyProtection="1"/>
    <xf numFmtId="4" fontId="12" fillId="2" borderId="11" xfId="0" applyNumberFormat="1" applyFont="1" applyFill="1" applyBorder="1" applyAlignment="1" applyProtection="1">
      <alignment horizontal="center"/>
    </xf>
    <xf numFmtId="0" fontId="15" fillId="2" borderId="0" xfId="0" applyFont="1" applyFill="1" applyProtection="1"/>
    <xf numFmtId="3" fontId="17" fillId="2" borderId="14" xfId="0" applyNumberFormat="1" applyFont="1" applyFill="1" applyBorder="1" applyAlignment="1" applyProtection="1">
      <alignment horizontal="center"/>
    </xf>
    <xf numFmtId="3" fontId="17" fillId="2" borderId="13" xfId="0" applyNumberFormat="1" applyFont="1" applyFill="1" applyBorder="1" applyAlignment="1" applyProtection="1">
      <alignment horizontal="center"/>
    </xf>
    <xf numFmtId="3" fontId="17" fillId="2" borderId="15" xfId="0" applyNumberFormat="1" applyFont="1" applyFill="1" applyBorder="1" applyAlignment="1" applyProtection="1">
      <alignment horizontal="center"/>
    </xf>
    <xf numFmtId="0" fontId="17" fillId="2" borderId="17" xfId="0" applyFont="1" applyFill="1" applyBorder="1" applyAlignment="1" applyProtection="1">
      <alignment horizontal="center"/>
    </xf>
    <xf numFmtId="4" fontId="0" fillId="2" borderId="16" xfId="0" applyNumberFormat="1" applyFill="1" applyBorder="1" applyProtection="1"/>
    <xf numFmtId="4" fontId="0" fillId="2" borderId="17" xfId="0" applyNumberFormat="1" applyFill="1" applyBorder="1" applyProtection="1"/>
    <xf numFmtId="4" fontId="0" fillId="2" borderId="18" xfId="0" applyNumberFormat="1" applyFill="1" applyBorder="1" applyProtection="1"/>
    <xf numFmtId="0" fontId="17" fillId="2" borderId="20" xfId="0" applyFont="1" applyFill="1" applyBorder="1" applyAlignment="1" applyProtection="1">
      <alignment horizontal="center"/>
    </xf>
    <xf numFmtId="4" fontId="0" fillId="2" borderId="19" xfId="0" applyNumberFormat="1" applyFill="1" applyBorder="1" applyProtection="1"/>
    <xf numFmtId="4" fontId="0" fillId="2" borderId="20" xfId="0" applyNumberFormat="1" applyFill="1" applyBorder="1" applyProtection="1"/>
    <xf numFmtId="4" fontId="0" fillId="2" borderId="21" xfId="0" applyNumberFormat="1" applyFill="1" applyBorder="1" applyProtection="1"/>
    <xf numFmtId="0" fontId="17" fillId="2" borderId="23" xfId="0" applyFont="1" applyFill="1" applyBorder="1" applyAlignment="1" applyProtection="1">
      <alignment horizontal="center"/>
    </xf>
    <xf numFmtId="4" fontId="0" fillId="2" borderId="22" xfId="0" applyNumberFormat="1" applyFill="1" applyBorder="1" applyProtection="1"/>
    <xf numFmtId="4" fontId="0" fillId="2" borderId="0" xfId="0" applyNumberFormat="1" applyFill="1" applyBorder="1" applyProtection="1"/>
    <xf numFmtId="4" fontId="0" fillId="2" borderId="23" xfId="0" applyNumberFormat="1" applyFill="1" applyBorder="1" applyProtection="1"/>
    <xf numFmtId="0" fontId="0" fillId="2" borderId="24" xfId="0" applyFill="1" applyBorder="1" applyProtection="1"/>
    <xf numFmtId="4" fontId="18" fillId="2" borderId="13" xfId="0" applyNumberFormat="1" applyFont="1" applyFill="1" applyBorder="1" applyAlignment="1" applyProtection="1">
      <alignment horizontal="center"/>
    </xf>
    <xf numFmtId="4" fontId="18" fillId="2" borderId="14" xfId="0" applyNumberFormat="1" applyFont="1" applyFill="1" applyBorder="1" applyProtection="1"/>
    <xf numFmtId="4" fontId="18" fillId="2" borderId="15" xfId="0" applyNumberFormat="1" applyFont="1" applyFill="1" applyBorder="1" applyProtection="1"/>
    <xf numFmtId="0" fontId="3" fillId="3" borderId="2" xfId="0" applyFont="1" applyFill="1" applyBorder="1" applyAlignment="1">
      <alignment horizontal="left"/>
    </xf>
    <xf numFmtId="167" fontId="3" fillId="10" borderId="32" xfId="0" applyNumberFormat="1" applyFont="1" applyFill="1" applyBorder="1" applyAlignment="1" applyProtection="1">
      <alignment horizontal="center" vertical="center" wrapText="1"/>
      <protection locked="0"/>
    </xf>
    <xf numFmtId="167" fontId="3" fillId="8" borderId="33" xfId="0" applyNumberFormat="1" applyFont="1" applyFill="1" applyBorder="1" applyAlignment="1" applyProtection="1">
      <alignment horizontal="center" vertical="center" wrapText="1"/>
      <protection locked="0"/>
    </xf>
    <xf numFmtId="167" fontId="3" fillId="8" borderId="34" xfId="0" applyNumberFormat="1" applyFont="1" applyFill="1" applyBorder="1" applyAlignment="1" applyProtection="1">
      <alignment horizontal="center" vertical="center" wrapText="1"/>
      <protection locked="0"/>
    </xf>
    <xf numFmtId="167" fontId="3" fillId="10" borderId="35" xfId="0" applyNumberFormat="1" applyFont="1" applyFill="1" applyBorder="1" applyAlignment="1" applyProtection="1">
      <alignment horizontal="center" vertical="center" wrapText="1"/>
      <protection locked="0"/>
    </xf>
    <xf numFmtId="167" fontId="3" fillId="10" borderId="36" xfId="0" applyNumberFormat="1" applyFont="1" applyFill="1" applyBorder="1" applyAlignment="1" applyProtection="1">
      <alignment horizontal="center" vertical="center" wrapText="1"/>
      <protection locked="0"/>
    </xf>
    <xf numFmtId="167" fontId="3" fillId="10" borderId="37" xfId="0" applyNumberFormat="1" applyFont="1" applyFill="1" applyBorder="1" applyAlignment="1" applyProtection="1">
      <alignment horizontal="center" vertical="center" wrapText="1"/>
      <protection locked="0"/>
    </xf>
    <xf numFmtId="0" fontId="19" fillId="7" borderId="0" xfId="0" applyFont="1" applyFill="1" applyAlignment="1">
      <alignment horizontal="center"/>
    </xf>
    <xf numFmtId="0" fontId="8" fillId="7" borderId="0" xfId="0" applyFont="1" applyFill="1" applyAlignment="1">
      <alignment horizontal="left"/>
    </xf>
    <xf numFmtId="0" fontId="5" fillId="7" borderId="0" xfId="0" applyFont="1" applyFill="1" applyAlignment="1">
      <alignment horizontal="left"/>
    </xf>
    <xf numFmtId="3" fontId="11" fillId="7" borderId="0" xfId="0" applyNumberFormat="1" applyFont="1" applyFill="1"/>
    <xf numFmtId="165" fontId="11" fillId="7" borderId="0" xfId="1" applyNumberFormat="1" applyFont="1" applyFill="1"/>
    <xf numFmtId="0" fontId="19" fillId="7" borderId="0" xfId="0" applyFont="1" applyFill="1" applyAlignment="1">
      <alignment horizontal="center"/>
    </xf>
    <xf numFmtId="9" fontId="1" fillId="0" borderId="0" xfId="1" applyFont="1"/>
    <xf numFmtId="169" fontId="20" fillId="3" borderId="39" xfId="0" applyNumberFormat="1" applyFont="1" applyFill="1" applyBorder="1" applyAlignment="1">
      <alignment horizontal="center"/>
    </xf>
    <xf numFmtId="9" fontId="2" fillId="4" borderId="0" xfId="1" applyFont="1" applyFill="1" applyAlignment="1">
      <alignment horizontal="center" wrapText="1"/>
    </xf>
    <xf numFmtId="0" fontId="20" fillId="3" borderId="40" xfId="0" applyFont="1" applyFill="1" applyBorder="1" applyAlignment="1">
      <alignment horizontal="center"/>
    </xf>
    <xf numFmtId="0" fontId="22" fillId="12" borderId="40" xfId="0" applyFont="1" applyFill="1" applyBorder="1" applyAlignment="1">
      <alignment horizontal="center"/>
    </xf>
    <xf numFmtId="0" fontId="20" fillId="3" borderId="41" xfId="0" applyFont="1" applyFill="1" applyBorder="1" applyAlignment="1">
      <alignment horizontal="center"/>
    </xf>
    <xf numFmtId="9" fontId="1" fillId="13" borderId="0" xfId="1" applyFont="1" applyFill="1" applyProtection="1">
      <protection locked="0"/>
    </xf>
    <xf numFmtId="3" fontId="0" fillId="0" borderId="0" xfId="0" applyNumberFormat="1" applyAlignment="1">
      <alignment horizontal="center"/>
    </xf>
    <xf numFmtId="3" fontId="0" fillId="4" borderId="0" xfId="0" applyNumberFormat="1" applyFill="1" applyAlignment="1">
      <alignment horizontal="center"/>
    </xf>
    <xf numFmtId="0" fontId="2" fillId="0" borderId="0" xfId="0" applyFont="1"/>
    <xf numFmtId="9" fontId="2" fillId="0" borderId="0" xfId="1" applyFont="1"/>
    <xf numFmtId="3" fontId="2" fillId="0" borderId="0" xfId="0" applyNumberFormat="1" applyFont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11" fillId="0" borderId="0" xfId="0" applyFont="1"/>
    <xf numFmtId="0" fontId="11" fillId="4" borderId="0" xfId="0" applyFont="1" applyFill="1" applyAlignment="1">
      <alignment horizontal="center" wrapText="1"/>
    </xf>
    <xf numFmtId="49" fontId="5" fillId="2" borderId="4" xfId="0" applyNumberFormat="1" applyFont="1" applyFill="1" applyBorder="1" applyAlignment="1" applyProtection="1">
      <alignment horizontal="right"/>
      <protection locked="0"/>
    </xf>
    <xf numFmtId="0" fontId="5" fillId="7" borderId="0" xfId="0" applyFont="1" applyFill="1" applyAlignment="1">
      <alignment horizontal="right"/>
    </xf>
    <xf numFmtId="10" fontId="5" fillId="4" borderId="4" xfId="1" applyNumberFormat="1" applyFont="1" applyFill="1" applyBorder="1" applyAlignment="1" applyProtection="1">
      <protection locked="0"/>
    </xf>
    <xf numFmtId="49" fontId="8" fillId="7" borderId="0" xfId="0" applyNumberFormat="1" applyFont="1" applyFill="1"/>
    <xf numFmtId="0" fontId="2" fillId="7" borderId="0" xfId="0" applyFont="1" applyFill="1"/>
    <xf numFmtId="0" fontId="7" fillId="7" borderId="0" xfId="0" applyFont="1" applyFill="1"/>
    <xf numFmtId="165" fontId="8" fillId="7" borderId="0" xfId="1" applyNumberFormat="1" applyFont="1" applyFill="1"/>
    <xf numFmtId="0" fontId="19" fillId="7" borderId="0" xfId="0" applyFont="1" applyFill="1" applyAlignment="1">
      <alignment horizontal="center"/>
    </xf>
    <xf numFmtId="0" fontId="11" fillId="7" borderId="0" xfId="0" applyFont="1" applyFill="1"/>
    <xf numFmtId="3" fontId="24" fillId="14" borderId="16" xfId="0" applyNumberFormat="1" applyFont="1" applyFill="1" applyBorder="1" applyProtection="1"/>
    <xf numFmtId="4" fontId="18" fillId="15" borderId="6" xfId="0" applyNumberFormat="1" applyFont="1" applyFill="1" applyBorder="1" applyProtection="1"/>
    <xf numFmtId="4" fontId="18" fillId="15" borderId="45" xfId="0" applyNumberFormat="1" applyFont="1" applyFill="1" applyBorder="1" applyProtection="1"/>
    <xf numFmtId="4" fontId="18" fillId="15" borderId="7" xfId="0" applyNumberFormat="1" applyFont="1" applyFill="1" applyBorder="1" applyProtection="1"/>
    <xf numFmtId="3" fontId="24" fillId="14" borderId="46" xfId="0" applyNumberFormat="1" applyFont="1" applyFill="1" applyBorder="1" applyProtection="1"/>
    <xf numFmtId="4" fontId="18" fillId="15" borderId="8" xfId="0" applyNumberFormat="1" applyFont="1" applyFill="1" applyBorder="1" applyProtection="1"/>
    <xf numFmtId="4" fontId="18" fillId="15" borderId="9" xfId="0" applyNumberFormat="1" applyFont="1" applyFill="1" applyBorder="1" applyProtection="1"/>
    <xf numFmtId="4" fontId="18" fillId="15" borderId="10" xfId="0" applyNumberFormat="1" applyFont="1" applyFill="1" applyBorder="1" applyProtection="1"/>
    <xf numFmtId="3" fontId="24" fillId="14" borderId="47" xfId="0" applyNumberFormat="1" applyFont="1" applyFill="1" applyBorder="1" applyProtection="1"/>
    <xf numFmtId="4" fontId="18" fillId="15" borderId="12" xfId="0" applyNumberFormat="1" applyFont="1" applyFill="1" applyBorder="1" applyProtection="1"/>
    <xf numFmtId="4" fontId="18" fillId="15" borderId="48" xfId="0" applyNumberFormat="1" applyFont="1" applyFill="1" applyBorder="1" applyProtection="1"/>
    <xf numFmtId="4" fontId="18" fillId="15" borderId="11" xfId="0" applyNumberFormat="1" applyFont="1" applyFill="1" applyBorder="1" applyProtection="1"/>
    <xf numFmtId="0" fontId="5" fillId="9" borderId="0" xfId="0" applyFont="1" applyFill="1"/>
    <xf numFmtId="0" fontId="25" fillId="9" borderId="0" xfId="3" applyFont="1" applyFill="1" applyBorder="1"/>
    <xf numFmtId="0" fontId="7" fillId="7" borderId="0" xfId="0" applyFont="1" applyFill="1" applyAlignment="1">
      <alignment horizontal="center"/>
    </xf>
    <xf numFmtId="0" fontId="5" fillId="9" borderId="0" xfId="0" applyFont="1" applyFill="1" applyBorder="1" applyAlignment="1">
      <alignment wrapText="1"/>
    </xf>
    <xf numFmtId="0" fontId="5" fillId="9" borderId="0" xfId="0" applyFont="1" applyFill="1" applyAlignment="1">
      <alignment wrapText="1"/>
    </xf>
    <xf numFmtId="0" fontId="7" fillId="9" borderId="0" xfId="0" applyFont="1" applyFill="1"/>
    <xf numFmtId="3" fontId="5" fillId="9" borderId="0" xfId="0" applyNumberFormat="1" applyFont="1" applyFill="1" applyBorder="1"/>
    <xf numFmtId="49" fontId="5" fillId="7" borderId="0" xfId="0" applyNumberFormat="1" applyFont="1" applyFill="1"/>
    <xf numFmtId="0" fontId="7" fillId="9" borderId="0" xfId="0" applyFont="1" applyFill="1" applyBorder="1"/>
    <xf numFmtId="0" fontId="7" fillId="9" borderId="0" xfId="0" applyFont="1" applyFill="1" applyBorder="1" applyAlignment="1">
      <alignment horizontal="center"/>
    </xf>
    <xf numFmtId="3" fontId="7" fillId="9" borderId="0" xfId="0" applyNumberFormat="1" applyFont="1" applyFill="1" applyBorder="1"/>
    <xf numFmtId="0" fontId="26" fillId="7" borderId="0" xfId="0" applyFont="1" applyFill="1" applyBorder="1" applyAlignment="1">
      <alignment horizontal="right"/>
    </xf>
    <xf numFmtId="3" fontId="26" fillId="9" borderId="0" xfId="2" applyNumberFormat="1" applyFont="1" applyFill="1" applyBorder="1"/>
    <xf numFmtId="3" fontId="5" fillId="9" borderId="0" xfId="2" applyNumberFormat="1" applyFont="1" applyFill="1" applyBorder="1"/>
    <xf numFmtId="3" fontId="26" fillId="9" borderId="0" xfId="0" applyNumberFormat="1" applyFont="1" applyFill="1" applyBorder="1"/>
    <xf numFmtId="3" fontId="27" fillId="4" borderId="4" xfId="0" applyNumberFormat="1" applyFont="1" applyFill="1" applyBorder="1" applyAlignment="1" applyProtection="1">
      <protection locked="0"/>
    </xf>
    <xf numFmtId="169" fontId="0" fillId="0" borderId="0" xfId="0" applyNumberFormat="1"/>
    <xf numFmtId="1" fontId="20" fillId="3" borderId="39" xfId="0" applyNumberFormat="1" applyFont="1" applyFill="1" applyBorder="1" applyAlignment="1">
      <alignment horizontal="center"/>
    </xf>
    <xf numFmtId="1" fontId="20" fillId="3" borderId="40" xfId="0" applyNumberFormat="1" applyFont="1" applyFill="1" applyBorder="1" applyAlignment="1">
      <alignment horizontal="center"/>
    </xf>
    <xf numFmtId="3" fontId="0" fillId="0" borderId="0" xfId="0" applyNumberFormat="1"/>
    <xf numFmtId="0" fontId="5" fillId="9" borderId="0" xfId="0" applyFont="1" applyFill="1" applyBorder="1" applyAlignment="1">
      <alignment horizontal="right"/>
    </xf>
    <xf numFmtId="3" fontId="5" fillId="7" borderId="0" xfId="0" applyNumberFormat="1" applyFont="1" applyFill="1" applyBorder="1"/>
    <xf numFmtId="165" fontId="8" fillId="9" borderId="0" xfId="0" applyNumberFormat="1" applyFont="1" applyFill="1" applyBorder="1"/>
    <xf numFmtId="165" fontId="28" fillId="9" borderId="0" xfId="2" applyNumberFormat="1" applyFont="1" applyFill="1" applyBorder="1"/>
    <xf numFmtId="165" fontId="8" fillId="9" borderId="0" xfId="2" applyNumberFormat="1" applyFont="1" applyFill="1" applyBorder="1"/>
    <xf numFmtId="165" fontId="28" fillId="9" borderId="0" xfId="0" applyNumberFormat="1" applyFont="1" applyFill="1" applyBorder="1"/>
    <xf numFmtId="165" fontId="8" fillId="7" borderId="0" xfId="0" applyNumberFormat="1" applyFont="1" applyFill="1" applyBorder="1"/>
    <xf numFmtId="165" fontId="8" fillId="9" borderId="0" xfId="1" applyNumberFormat="1" applyFont="1" applyFill="1" applyBorder="1"/>
    <xf numFmtId="0" fontId="19" fillId="9" borderId="0" xfId="0" applyFont="1" applyFill="1" applyBorder="1"/>
    <xf numFmtId="3" fontId="19" fillId="9" borderId="0" xfId="0" applyNumberFormat="1" applyFont="1" applyFill="1" applyBorder="1"/>
    <xf numFmtId="0" fontId="29" fillId="7" borderId="0" xfId="0" applyFont="1" applyFill="1" applyBorder="1"/>
    <xf numFmtId="167" fontId="3" fillId="10" borderId="52" xfId="0" applyNumberFormat="1" applyFont="1" applyFill="1" applyBorder="1" applyAlignment="1" applyProtection="1">
      <alignment horizontal="center" vertical="center" wrapText="1"/>
      <protection locked="0"/>
    </xf>
    <xf numFmtId="167" fontId="3" fillId="10" borderId="53" xfId="0" applyNumberFormat="1" applyFont="1" applyFill="1" applyBorder="1" applyAlignment="1" applyProtection="1">
      <alignment horizontal="center" vertical="center" wrapText="1"/>
      <protection locked="0"/>
    </xf>
    <xf numFmtId="165" fontId="7" fillId="7" borderId="0" xfId="1" applyNumberFormat="1" applyFont="1" applyFill="1"/>
    <xf numFmtId="165" fontId="5" fillId="7" borderId="0" xfId="1" applyNumberFormat="1" applyFont="1" applyFill="1"/>
    <xf numFmtId="3" fontId="7" fillId="7" borderId="0" xfId="0" applyNumberFormat="1" applyFont="1" applyFill="1"/>
    <xf numFmtId="0" fontId="28" fillId="7" borderId="0" xfId="0" applyFont="1" applyFill="1"/>
    <xf numFmtId="3" fontId="28" fillId="7" borderId="0" xfId="0" applyNumberFormat="1" applyFont="1" applyFill="1"/>
    <xf numFmtId="165" fontId="28" fillId="7" borderId="0" xfId="1" applyNumberFormat="1" applyFont="1" applyFill="1"/>
    <xf numFmtId="0" fontId="20" fillId="3" borderId="0" xfId="0" applyFont="1" applyFill="1" applyBorder="1" applyAlignment="1">
      <alignment horizontal="center" vertical="center"/>
    </xf>
    <xf numFmtId="0" fontId="0" fillId="7" borderId="0" xfId="0" applyFont="1" applyFill="1"/>
    <xf numFmtId="3" fontId="0" fillId="7" borderId="0" xfId="0" applyNumberFormat="1" applyFont="1" applyFill="1"/>
    <xf numFmtId="3" fontId="32" fillId="7" borderId="0" xfId="0" applyNumberFormat="1" applyFont="1" applyFill="1"/>
    <xf numFmtId="0" fontId="0" fillId="7" borderId="0" xfId="0" applyFont="1" applyFill="1" applyAlignment="1">
      <alignment horizontal="left"/>
    </xf>
    <xf numFmtId="3" fontId="2" fillId="7" borderId="27" xfId="0" applyNumberFormat="1" applyFont="1" applyFill="1" applyBorder="1"/>
    <xf numFmtId="0" fontId="35" fillId="4" borderId="4" xfId="0" applyFont="1" applyFill="1" applyBorder="1" applyProtection="1">
      <protection locked="0"/>
    </xf>
    <xf numFmtId="0" fontId="35" fillId="4" borderId="4" xfId="0" applyFont="1" applyFill="1" applyBorder="1" applyAlignment="1" applyProtection="1">
      <alignment horizontal="center" vertical="center" wrapText="1"/>
      <protection locked="0"/>
    </xf>
    <xf numFmtId="167" fontId="9" fillId="8" borderId="33" xfId="0" applyNumberFormat="1" applyFont="1" applyFill="1" applyBorder="1" applyAlignment="1" applyProtection="1">
      <alignment horizontal="center" vertical="center" wrapText="1"/>
      <protection locked="0"/>
    </xf>
    <xf numFmtId="167" fontId="9" fillId="10" borderId="35" xfId="0" applyNumberFormat="1" applyFont="1" applyFill="1" applyBorder="1" applyAlignment="1" applyProtection="1">
      <alignment horizontal="center" vertical="center" wrapText="1"/>
      <protection locked="0"/>
    </xf>
    <xf numFmtId="167" fontId="9" fillId="10" borderId="36" xfId="0" applyNumberFormat="1" applyFont="1" applyFill="1" applyBorder="1" applyAlignment="1" applyProtection="1">
      <alignment horizontal="center" vertical="center" wrapText="1"/>
      <protection locked="0"/>
    </xf>
    <xf numFmtId="167" fontId="9" fillId="10" borderId="37" xfId="0" applyNumberFormat="1" applyFont="1" applyFill="1" applyBorder="1" applyAlignment="1" applyProtection="1">
      <alignment horizontal="center" vertical="center" wrapText="1"/>
      <protection locked="0"/>
    </xf>
    <xf numFmtId="0" fontId="5" fillId="16" borderId="0" xfId="0" applyFont="1" applyFill="1"/>
    <xf numFmtId="0" fontId="38" fillId="7" borderId="4" xfId="0" applyFont="1" applyFill="1" applyBorder="1" applyAlignment="1" applyProtection="1">
      <alignment horizontal="left" vertical="top" wrapText="1"/>
      <protection locked="0"/>
    </xf>
    <xf numFmtId="14" fontId="0" fillId="0" borderId="0" xfId="0" applyNumberFormat="1"/>
    <xf numFmtId="0" fontId="0" fillId="0" borderId="0" xfId="0" applyAlignment="1">
      <alignment horizontal="center"/>
    </xf>
    <xf numFmtId="2" fontId="0" fillId="0" borderId="0" xfId="0" applyNumberFormat="1"/>
    <xf numFmtId="3" fontId="8" fillId="4" borderId="72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wrapText="1"/>
    </xf>
    <xf numFmtId="0" fontId="6" fillId="5" borderId="0" xfId="0" applyFont="1" applyFill="1" applyBorder="1" applyAlignment="1">
      <alignment horizontal="left" vertical="center" wrapText="1" indent="2"/>
    </xf>
    <xf numFmtId="3" fontId="8" fillId="7" borderId="0" xfId="0" applyNumberFormat="1" applyFont="1" applyFill="1" applyAlignment="1">
      <alignment horizontal="center" wrapText="1"/>
    </xf>
    <xf numFmtId="0" fontId="42" fillId="9" borderId="0" xfId="0" applyFont="1" applyFill="1" applyBorder="1"/>
    <xf numFmtId="0" fontId="43" fillId="9" borderId="0" xfId="0" applyFont="1" applyFill="1" applyBorder="1"/>
    <xf numFmtId="3" fontId="42" fillId="4" borderId="4" xfId="0" applyNumberFormat="1" applyFont="1" applyFill="1" applyBorder="1" applyAlignment="1" applyProtection="1">
      <protection locked="0"/>
    </xf>
    <xf numFmtId="0" fontId="42" fillId="7" borderId="0" xfId="0" applyFont="1" applyFill="1"/>
    <xf numFmtId="0" fontId="42" fillId="9" borderId="0" xfId="0" applyFont="1" applyFill="1"/>
    <xf numFmtId="167" fontId="41" fillId="8" borderId="32" xfId="0" applyNumberFormat="1" applyFont="1" applyFill="1" applyBorder="1" applyAlignment="1" applyProtection="1">
      <alignment horizontal="center" vertical="center" wrapText="1"/>
      <protection locked="0"/>
    </xf>
    <xf numFmtId="0" fontId="43" fillId="7" borderId="0" xfId="0" applyFont="1" applyFill="1"/>
    <xf numFmtId="3" fontId="43" fillId="7" borderId="0" xfId="0" applyNumberFormat="1" applyFont="1" applyFill="1"/>
    <xf numFmtId="49" fontId="42" fillId="7" borderId="0" xfId="0" applyNumberFormat="1" applyFont="1" applyFill="1"/>
    <xf numFmtId="0" fontId="43" fillId="9" borderId="0" xfId="0" applyFont="1" applyFill="1"/>
    <xf numFmtId="3" fontId="42" fillId="7" borderId="0" xfId="0" applyNumberFormat="1" applyFont="1" applyFill="1"/>
    <xf numFmtId="0" fontId="44" fillId="9" borderId="0" xfId="0" applyFont="1" applyFill="1" applyAlignment="1">
      <alignment vertical="center"/>
    </xf>
    <xf numFmtId="0" fontId="42" fillId="9" borderId="0" xfId="0" applyFont="1" applyFill="1" applyBorder="1" applyAlignment="1">
      <alignment wrapText="1"/>
    </xf>
    <xf numFmtId="3" fontId="2" fillId="0" borderId="0" xfId="0" applyNumberFormat="1" applyFont="1"/>
    <xf numFmtId="0" fontId="19" fillId="7" borderId="0" xfId="0" applyFont="1" applyFill="1"/>
    <xf numFmtId="0" fontId="8" fillId="9" borderId="0" xfId="0" applyFont="1" applyFill="1"/>
    <xf numFmtId="0" fontId="42" fillId="9" borderId="0" xfId="0" applyFont="1" applyFill="1" applyAlignment="1">
      <alignment vertical="center"/>
    </xf>
    <xf numFmtId="0" fontId="43" fillId="9" borderId="0" xfId="0" applyFont="1" applyFill="1" applyAlignment="1">
      <alignment vertical="center"/>
    </xf>
    <xf numFmtId="0" fontId="43" fillId="9" borderId="0" xfId="0" applyFont="1" applyFill="1" applyAlignment="1">
      <alignment horizontal="right" vertical="center"/>
    </xf>
    <xf numFmtId="0" fontId="45" fillId="9" borderId="0" xfId="0" applyFont="1" applyFill="1" applyAlignment="1">
      <alignment vertical="center"/>
    </xf>
    <xf numFmtId="0" fontId="44" fillId="0" borderId="0" xfId="0" applyFont="1"/>
    <xf numFmtId="0" fontId="42" fillId="9" borderId="0" xfId="0" applyFont="1" applyFill="1" applyAlignment="1">
      <alignment horizontal="left" vertical="top"/>
    </xf>
    <xf numFmtId="0" fontId="41" fillId="3" borderId="4" xfId="0" applyFont="1" applyFill="1" applyBorder="1" applyAlignment="1">
      <alignment horizontal="center" wrapText="1"/>
    </xf>
    <xf numFmtId="0" fontId="46" fillId="9" borderId="0" xfId="0" applyFont="1" applyFill="1" applyAlignment="1">
      <alignment vertical="center"/>
    </xf>
    <xf numFmtId="171" fontId="41" fillId="8" borderId="32" xfId="0" applyNumberFormat="1" applyFont="1" applyFill="1" applyBorder="1" applyAlignment="1" applyProtection="1">
      <alignment horizontal="center" vertical="center" wrapText="1"/>
      <protection locked="0"/>
    </xf>
    <xf numFmtId="0" fontId="44" fillId="9" borderId="0" xfId="0" applyFont="1" applyFill="1" applyAlignment="1">
      <alignment horizontal="right" vertical="center"/>
    </xf>
    <xf numFmtId="0" fontId="46" fillId="9" borderId="0" xfId="0" applyFont="1" applyFill="1" applyAlignment="1">
      <alignment horizontal="left" vertical="top"/>
    </xf>
    <xf numFmtId="0" fontId="41" fillId="3" borderId="2" xfId="0" applyFont="1" applyFill="1" applyBorder="1" applyAlignment="1">
      <alignment horizontal="center"/>
    </xf>
    <xf numFmtId="0" fontId="41" fillId="3" borderId="3" xfId="0" applyFont="1" applyFill="1" applyBorder="1" applyAlignment="1">
      <alignment horizontal="center"/>
    </xf>
    <xf numFmtId="3" fontId="42" fillId="4" borderId="4" xfId="0" applyNumberFormat="1" applyFont="1" applyFill="1" applyBorder="1" applyAlignment="1" applyProtection="1">
      <alignment horizontal="right"/>
      <protection locked="0"/>
    </xf>
    <xf numFmtId="0" fontId="42" fillId="16" borderId="0" xfId="0" applyFont="1" applyFill="1"/>
    <xf numFmtId="3" fontId="42" fillId="17" borderId="4" xfId="0" applyNumberFormat="1" applyFont="1" applyFill="1" applyBorder="1"/>
    <xf numFmtId="0" fontId="44" fillId="9" borderId="0" xfId="0" applyFont="1" applyFill="1" applyBorder="1" applyAlignment="1">
      <alignment vertical="center"/>
    </xf>
    <xf numFmtId="0" fontId="47" fillId="16" borderId="0" xfId="0" applyFont="1" applyFill="1" applyBorder="1" applyAlignment="1">
      <alignment wrapText="1"/>
    </xf>
    <xf numFmtId="0" fontId="42" fillId="9" borderId="0" xfId="0" applyFont="1" applyFill="1" applyBorder="1" applyAlignment="1">
      <alignment horizontal="left" vertical="top"/>
    </xf>
    <xf numFmtId="3" fontId="42" fillId="7" borderId="0" xfId="0" applyNumberFormat="1" applyFont="1" applyFill="1" applyAlignment="1">
      <alignment horizontal="center"/>
    </xf>
    <xf numFmtId="3" fontId="42" fillId="7" borderId="0" xfId="0" applyNumberFormat="1" applyFont="1" applyFill="1" applyAlignment="1">
      <alignment horizontal="center" wrapText="1"/>
    </xf>
    <xf numFmtId="3" fontId="48" fillId="7" borderId="0" xfId="0" applyNumberFormat="1" applyFont="1" applyFill="1"/>
    <xf numFmtId="3" fontId="42" fillId="2" borderId="0" xfId="0" applyNumberFormat="1" applyFont="1" applyFill="1"/>
    <xf numFmtId="0" fontId="42" fillId="2" borderId="0" xfId="0" applyFont="1" applyFill="1" applyAlignment="1">
      <alignment horizontal="left"/>
    </xf>
    <xf numFmtId="0" fontId="42" fillId="2" borderId="0" xfId="0" applyFont="1" applyFill="1"/>
    <xf numFmtId="0" fontId="42" fillId="7" borderId="0" xfId="0" applyFont="1" applyFill="1" applyAlignment="1">
      <alignment horizontal="left"/>
    </xf>
    <xf numFmtId="0" fontId="11" fillId="7" borderId="0" xfId="0" applyFont="1" applyFill="1" applyAlignment="1">
      <alignment horizontal="center"/>
    </xf>
    <xf numFmtId="0" fontId="0" fillId="2" borderId="0" xfId="0" applyFont="1" applyFill="1" applyProtection="1"/>
    <xf numFmtId="0" fontId="39" fillId="2" borderId="0" xfId="0" applyFont="1" applyFill="1" applyProtection="1"/>
    <xf numFmtId="0" fontId="39" fillId="2" borderId="0" xfId="0" applyFont="1" applyFill="1" applyBorder="1" applyProtection="1"/>
    <xf numFmtId="0" fontId="39" fillId="2" borderId="0" xfId="0" applyFont="1" applyFill="1" applyAlignment="1" applyProtection="1">
      <alignment vertical="center"/>
    </xf>
    <xf numFmtId="0" fontId="39" fillId="2" borderId="0" xfId="0" applyFont="1" applyFill="1" applyBorder="1" applyAlignment="1" applyProtection="1">
      <alignment wrapText="1"/>
    </xf>
    <xf numFmtId="170" fontId="2" fillId="2" borderId="30" xfId="0" applyNumberFormat="1" applyFont="1" applyFill="1" applyBorder="1" applyAlignment="1">
      <alignment vertical="center"/>
    </xf>
    <xf numFmtId="0" fontId="0" fillId="10" borderId="28" xfId="0" applyFill="1" applyBorder="1" applyAlignment="1">
      <alignment horizontal="left" vertical="center"/>
    </xf>
    <xf numFmtId="165" fontId="2" fillId="6" borderId="30" xfId="1" applyNumberFormat="1" applyFont="1" applyFill="1" applyBorder="1" applyAlignment="1">
      <alignment vertical="center"/>
    </xf>
    <xf numFmtId="0" fontId="0" fillId="10" borderId="28" xfId="0" applyFill="1" applyBorder="1" applyAlignment="1">
      <alignment horizontal="left" vertical="center" wrapText="1"/>
    </xf>
    <xf numFmtId="3" fontId="14" fillId="2" borderId="9" xfId="0" applyNumberFormat="1" applyFont="1" applyFill="1" applyBorder="1" applyAlignment="1" applyProtection="1">
      <alignment horizontal="center"/>
      <protection locked="0"/>
    </xf>
    <xf numFmtId="0" fontId="11" fillId="7" borderId="0" xfId="0" applyFont="1" applyFill="1" applyAlignment="1">
      <alignment horizontal="center" vertical="top"/>
    </xf>
    <xf numFmtId="0" fontId="7" fillId="7" borderId="0" xfId="0" applyFont="1" applyFill="1" applyAlignment="1">
      <alignment horizontal="center"/>
    </xf>
    <xf numFmtId="0" fontId="42" fillId="9" borderId="0" xfId="0" applyFont="1" applyFill="1" applyBorder="1" applyAlignment="1">
      <alignment horizontal="left" vertical="top" wrapText="1"/>
    </xf>
    <xf numFmtId="0" fontId="53" fillId="3" borderId="32" xfId="0" applyFont="1" applyFill="1" applyBorder="1" applyAlignment="1">
      <alignment horizontal="center" vertical="center" wrapText="1"/>
    </xf>
    <xf numFmtId="3" fontId="54" fillId="4" borderId="4" xfId="0" applyNumberFormat="1" applyFont="1" applyFill="1" applyBorder="1" applyAlignment="1" applyProtection="1">
      <protection locked="0"/>
    </xf>
    <xf numFmtId="166" fontId="54" fillId="4" borderId="4" xfId="1" applyNumberFormat="1" applyFont="1" applyFill="1" applyBorder="1" applyAlignment="1" applyProtection="1">
      <protection locked="0"/>
    </xf>
    <xf numFmtId="4" fontId="54" fillId="4" borderId="4" xfId="0" applyNumberFormat="1" applyFont="1" applyFill="1" applyBorder="1" applyAlignment="1" applyProtection="1">
      <protection locked="0"/>
    </xf>
    <xf numFmtId="165" fontId="54" fillId="4" borderId="4" xfId="1" applyNumberFormat="1" applyFont="1" applyFill="1" applyBorder="1" applyAlignment="1" applyProtection="1">
      <protection locked="0"/>
    </xf>
    <xf numFmtId="0" fontId="53" fillId="3" borderId="4" xfId="0" applyFont="1" applyFill="1" applyBorder="1" applyAlignment="1">
      <alignment horizontal="left" vertical="center" wrapText="1"/>
    </xf>
    <xf numFmtId="0" fontId="53" fillId="3" borderId="4" xfId="0" applyFont="1" applyFill="1" applyBorder="1" applyAlignment="1">
      <alignment horizontal="center" wrapText="1"/>
    </xf>
    <xf numFmtId="3" fontId="54" fillId="4" borderId="4" xfId="0" applyNumberFormat="1" applyFont="1" applyFill="1" applyBorder="1" applyAlignment="1" applyProtection="1">
      <alignment horizontal="left"/>
      <protection locked="0"/>
    </xf>
    <xf numFmtId="3" fontId="54" fillId="4" borderId="4" xfId="0" applyNumberFormat="1" applyFont="1" applyFill="1" applyBorder="1" applyAlignment="1" applyProtection="1">
      <alignment horizontal="left" wrapText="1"/>
      <protection locked="0"/>
    </xf>
    <xf numFmtId="0" fontId="54" fillId="9" borderId="0" xfId="0" applyFont="1" applyFill="1" applyBorder="1"/>
    <xf numFmtId="0" fontId="53" fillId="3" borderId="0" xfId="0" applyFont="1" applyFill="1" applyBorder="1" applyAlignment="1">
      <alignment horizontal="center" vertical="center" wrapText="1"/>
    </xf>
    <xf numFmtId="0" fontId="52" fillId="9" borderId="0" xfId="0" applyFont="1" applyFill="1" applyBorder="1" applyAlignment="1">
      <alignment horizontal="center"/>
    </xf>
    <xf numFmtId="165" fontId="54" fillId="9" borderId="0" xfId="0" applyNumberFormat="1" applyFont="1" applyFill="1" applyBorder="1"/>
    <xf numFmtId="0" fontId="52" fillId="9" borderId="0" xfId="0" applyFont="1" applyFill="1" applyBorder="1"/>
    <xf numFmtId="0" fontId="54" fillId="7" borderId="0" xfId="0" applyFont="1" applyFill="1" applyBorder="1"/>
    <xf numFmtId="0" fontId="11" fillId="9" borderId="0" xfId="0" applyFont="1" applyFill="1"/>
    <xf numFmtId="167" fontId="3" fillId="8" borderId="75" xfId="0" applyNumberFormat="1" applyFont="1" applyFill="1" applyBorder="1" applyAlignment="1" applyProtection="1">
      <alignment horizontal="center" vertical="center" wrapText="1"/>
      <protection locked="0"/>
    </xf>
    <xf numFmtId="167" fontId="3" fillId="8" borderId="62" xfId="0" applyNumberFormat="1" applyFont="1" applyFill="1" applyBorder="1" applyAlignment="1" applyProtection="1">
      <alignment horizontal="center" vertical="center" wrapText="1"/>
      <protection locked="0"/>
    </xf>
    <xf numFmtId="167" fontId="3" fillId="10" borderId="76" xfId="0" applyNumberFormat="1" applyFont="1" applyFill="1" applyBorder="1" applyAlignment="1" applyProtection="1">
      <alignment horizontal="center" vertical="center" wrapText="1"/>
      <protection locked="0"/>
    </xf>
    <xf numFmtId="167" fontId="3" fillId="10" borderId="77" xfId="0" applyNumberFormat="1" applyFont="1" applyFill="1" applyBorder="1" applyAlignment="1" applyProtection="1">
      <alignment horizontal="center" vertical="center" wrapText="1"/>
      <protection locked="0"/>
    </xf>
    <xf numFmtId="167" fontId="3" fillId="10" borderId="78" xfId="0" applyNumberFormat="1" applyFont="1" applyFill="1" applyBorder="1" applyAlignment="1" applyProtection="1">
      <alignment horizontal="center" vertical="center" wrapText="1"/>
      <protection locked="0"/>
    </xf>
    <xf numFmtId="167" fontId="3" fillId="8" borderId="65" xfId="0" applyNumberFormat="1" applyFont="1" applyFill="1" applyBorder="1" applyAlignment="1" applyProtection="1">
      <alignment horizontal="center" vertical="center" wrapText="1"/>
      <protection locked="0"/>
    </xf>
    <xf numFmtId="3" fontId="24" fillId="14" borderId="79" xfId="0" applyNumberFormat="1" applyFont="1" applyFill="1" applyBorder="1" applyProtection="1"/>
    <xf numFmtId="4" fontId="18" fillId="15" borderId="80" xfId="0" applyNumberFormat="1" applyFont="1" applyFill="1" applyBorder="1" applyProtection="1"/>
    <xf numFmtId="3" fontId="24" fillId="14" borderId="81" xfId="0" applyNumberFormat="1" applyFont="1" applyFill="1" applyBorder="1" applyProtection="1"/>
    <xf numFmtId="3" fontId="24" fillId="14" borderId="82" xfId="0" applyNumberFormat="1" applyFont="1" applyFill="1" applyBorder="1" applyProtection="1"/>
    <xf numFmtId="3" fontId="0" fillId="2" borderId="0" xfId="0" applyNumberFormat="1" applyFill="1" applyProtection="1"/>
    <xf numFmtId="4" fontId="0" fillId="2" borderId="83" xfId="0" applyNumberFormat="1" applyFill="1" applyBorder="1" applyProtection="1"/>
    <xf numFmtId="4" fontId="0" fillId="2" borderId="84" xfId="0" applyNumberFormat="1" applyFill="1" applyBorder="1" applyProtection="1"/>
    <xf numFmtId="0" fontId="7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 vertical="top"/>
    </xf>
    <xf numFmtId="0" fontId="54" fillId="9" borderId="0" xfId="0" applyFont="1" applyFill="1"/>
    <xf numFmtId="0" fontId="52" fillId="7" borderId="0" xfId="0" applyFont="1" applyFill="1" applyAlignment="1">
      <alignment horizontal="center"/>
    </xf>
    <xf numFmtId="0" fontId="54" fillId="7" borderId="0" xfId="0" applyFont="1" applyFill="1"/>
    <xf numFmtId="3" fontId="28" fillId="4" borderId="4" xfId="0" applyNumberFormat="1" applyFont="1" applyFill="1" applyBorder="1" applyAlignment="1" applyProtection="1">
      <protection locked="0"/>
    </xf>
    <xf numFmtId="3" fontId="52" fillId="2" borderId="4" xfId="0" applyNumberFormat="1" applyFont="1" applyFill="1" applyBorder="1" applyAlignment="1" applyProtection="1">
      <protection locked="0"/>
    </xf>
    <xf numFmtId="3" fontId="56" fillId="16" borderId="2" xfId="0" applyNumberFormat="1" applyFont="1" applyFill="1" applyBorder="1" applyProtection="1">
      <protection locked="0"/>
    </xf>
    <xf numFmtId="3" fontId="52" fillId="9" borderId="0" xfId="0" applyNumberFormat="1" applyFont="1" applyFill="1"/>
    <xf numFmtId="0" fontId="0" fillId="0" borderId="0" xfId="0" applyAlignment="1">
      <alignment vertical="top" wrapText="1"/>
    </xf>
    <xf numFmtId="170" fontId="1" fillId="0" borderId="0" xfId="2" applyNumberFormat="1" applyFont="1"/>
    <xf numFmtId="0" fontId="2" fillId="7" borderId="0" xfId="0" applyFont="1" applyFill="1" applyProtection="1"/>
    <xf numFmtId="0" fontId="0" fillId="10" borderId="28" xfId="0" applyFill="1" applyBorder="1" applyAlignment="1" applyProtection="1">
      <alignment horizontal="right"/>
    </xf>
    <xf numFmtId="170" fontId="2" fillId="2" borderId="30" xfId="0" applyNumberFormat="1" applyFont="1" applyFill="1" applyBorder="1" applyProtection="1"/>
    <xf numFmtId="0" fontId="0" fillId="10" borderId="28" xfId="0" applyFill="1" applyBorder="1" applyAlignment="1" applyProtection="1">
      <alignment horizontal="left"/>
    </xf>
    <xf numFmtId="0" fontId="0" fillId="7" borderId="29" xfId="0" applyFill="1" applyBorder="1" applyProtection="1"/>
    <xf numFmtId="165" fontId="2" fillId="6" borderId="30" xfId="1" applyNumberFormat="1" applyFont="1" applyFill="1" applyBorder="1" applyProtection="1"/>
    <xf numFmtId="0" fontId="0" fillId="10" borderId="27" xfId="0" applyFill="1" applyBorder="1" applyAlignment="1" applyProtection="1">
      <alignment horizontal="left"/>
    </xf>
    <xf numFmtId="0" fontId="0" fillId="7" borderId="0" xfId="0" applyFill="1" applyProtection="1"/>
    <xf numFmtId="170" fontId="2" fillId="2" borderId="27" xfId="0" applyNumberFormat="1" applyFont="1" applyFill="1" applyBorder="1" applyAlignment="1" applyProtection="1">
      <alignment vertical="center"/>
    </xf>
    <xf numFmtId="0" fontId="8" fillId="7" borderId="0" xfId="0" applyFont="1" applyFill="1" applyProtection="1"/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8" fillId="7" borderId="27" xfId="0" applyFont="1" applyFill="1" applyBorder="1" applyProtection="1"/>
    <xf numFmtId="0" fontId="5" fillId="7" borderId="0" xfId="0" applyFont="1" applyFill="1" applyBorder="1" applyProtection="1"/>
    <xf numFmtId="0" fontId="5" fillId="7" borderId="0" xfId="0" applyFont="1" applyFill="1" applyProtection="1"/>
    <xf numFmtId="0" fontId="3" fillId="3" borderId="2" xfId="0" applyFont="1" applyFill="1" applyBorder="1" applyAlignment="1" applyProtection="1">
      <alignment horizontal="center"/>
    </xf>
    <xf numFmtId="0" fontId="3" fillId="3" borderId="3" xfId="0" applyFont="1" applyFill="1" applyBorder="1" applyAlignment="1" applyProtection="1">
      <alignment horizontal="center"/>
    </xf>
    <xf numFmtId="167" fontId="3" fillId="8" borderId="32" xfId="0" applyNumberFormat="1" applyFont="1" applyFill="1" applyBorder="1" applyAlignment="1" applyProtection="1">
      <alignment horizontal="center" vertical="center" wrapText="1"/>
    </xf>
    <xf numFmtId="167" fontId="3" fillId="10" borderId="35" xfId="0" applyNumberFormat="1" applyFont="1" applyFill="1" applyBorder="1" applyAlignment="1" applyProtection="1">
      <alignment horizontal="center" vertical="center" wrapText="1"/>
    </xf>
    <xf numFmtId="167" fontId="3" fillId="10" borderId="36" xfId="0" applyNumberFormat="1" applyFont="1" applyFill="1" applyBorder="1" applyAlignment="1" applyProtection="1">
      <alignment horizontal="center" vertical="center" wrapText="1"/>
    </xf>
    <xf numFmtId="167" fontId="3" fillId="10" borderId="37" xfId="0" applyNumberFormat="1" applyFont="1" applyFill="1" applyBorder="1" applyAlignment="1" applyProtection="1">
      <alignment horizontal="center" vertical="center" wrapText="1"/>
    </xf>
    <xf numFmtId="0" fontId="20" fillId="3" borderId="3" xfId="0" applyFont="1" applyFill="1" applyBorder="1" applyAlignment="1" applyProtection="1">
      <alignment horizontal="center" wrapText="1"/>
    </xf>
    <xf numFmtId="3" fontId="5" fillId="4" borderId="4" xfId="0" applyNumberFormat="1" applyFont="1" applyFill="1" applyBorder="1" applyAlignment="1" applyProtection="1"/>
    <xf numFmtId="3" fontId="30" fillId="16" borderId="2" xfId="0" applyNumberFormat="1" applyFont="1" applyFill="1" applyBorder="1" applyProtection="1"/>
    <xf numFmtId="0" fontId="7" fillId="7" borderId="0" xfId="0" applyFont="1" applyFill="1" applyAlignment="1" applyProtection="1">
      <alignment horizontal="right"/>
    </xf>
    <xf numFmtId="3" fontId="5" fillId="7" borderId="0" xfId="0" applyNumberFormat="1" applyFont="1" applyFill="1" applyProtection="1"/>
    <xf numFmtId="3" fontId="31" fillId="16" borderId="2" xfId="0" applyNumberFormat="1" applyFont="1" applyFill="1" applyBorder="1" applyProtection="1"/>
    <xf numFmtId="3" fontId="7" fillId="4" borderId="4" xfId="0" applyNumberFormat="1" applyFont="1" applyFill="1" applyBorder="1" applyAlignment="1" applyProtection="1"/>
    <xf numFmtId="0" fontId="0" fillId="10" borderId="28" xfId="0" applyFill="1" applyBorder="1" applyAlignment="1" applyProtection="1">
      <alignment horizontal="right" vertical="center"/>
    </xf>
    <xf numFmtId="170" fontId="2" fillId="2" borderId="30" xfId="0" applyNumberFormat="1" applyFont="1" applyFill="1" applyBorder="1" applyAlignment="1" applyProtection="1">
      <alignment vertical="center"/>
    </xf>
    <xf numFmtId="0" fontId="0" fillId="10" borderId="28" xfId="0" applyFill="1" applyBorder="1" applyAlignment="1" applyProtection="1">
      <alignment horizontal="left" vertical="center"/>
    </xf>
    <xf numFmtId="165" fontId="2" fillId="6" borderId="30" xfId="1" applyNumberFormat="1" applyFont="1" applyFill="1" applyBorder="1" applyAlignment="1" applyProtection="1">
      <alignment vertical="center"/>
    </xf>
    <xf numFmtId="0" fontId="0" fillId="10" borderId="28" xfId="0" applyFill="1" applyBorder="1" applyAlignment="1" applyProtection="1">
      <alignment horizontal="left" vertical="center" wrapText="1"/>
    </xf>
    <xf numFmtId="0" fontId="7" fillId="7" borderId="0" xfId="0" applyFont="1" applyFill="1" applyProtection="1"/>
    <xf numFmtId="3" fontId="0" fillId="7" borderId="0" xfId="0" applyNumberFormat="1" applyFill="1" applyProtection="1"/>
    <xf numFmtId="4" fontId="8" fillId="2" borderId="4" xfId="0" applyNumberFormat="1" applyFont="1" applyFill="1" applyBorder="1" applyAlignment="1" applyProtection="1">
      <alignment horizontal="right"/>
    </xf>
    <xf numFmtId="9" fontId="8" fillId="7" borderId="0" xfId="1" applyNumberFormat="1" applyFont="1" applyFill="1" applyProtection="1"/>
    <xf numFmtId="167" fontId="9" fillId="8" borderId="32" xfId="0" applyNumberFormat="1" applyFont="1" applyFill="1" applyBorder="1" applyAlignment="1" applyProtection="1">
      <alignment horizontal="center" vertical="center" wrapText="1"/>
    </xf>
    <xf numFmtId="3" fontId="35" fillId="16" borderId="2" xfId="0" applyNumberFormat="1" applyFont="1" applyFill="1" applyBorder="1" applyProtection="1"/>
    <xf numFmtId="3" fontId="8" fillId="7" borderId="0" xfId="0" applyNumberFormat="1" applyFont="1" applyFill="1" applyProtection="1"/>
    <xf numFmtId="0" fontId="35" fillId="16" borderId="0" xfId="0" applyFont="1" applyFill="1" applyProtection="1"/>
    <xf numFmtId="10" fontId="35" fillId="16" borderId="0" xfId="0" applyNumberFormat="1" applyFont="1" applyFill="1" applyProtection="1"/>
    <xf numFmtId="0" fontId="11" fillId="7" borderId="0" xfId="0" applyFont="1" applyFill="1" applyProtection="1"/>
    <xf numFmtId="0" fontId="8" fillId="10" borderId="28" xfId="0" applyFont="1" applyFill="1" applyBorder="1" applyAlignment="1" applyProtection="1">
      <alignment horizontal="right"/>
    </xf>
    <xf numFmtId="170" fontId="11" fillId="2" borderId="30" xfId="0" applyNumberFormat="1" applyFont="1" applyFill="1" applyBorder="1" applyProtection="1"/>
    <xf numFmtId="0" fontId="8" fillId="10" borderId="28" xfId="0" applyFont="1" applyFill="1" applyBorder="1" applyAlignment="1" applyProtection="1">
      <alignment horizontal="left"/>
    </xf>
    <xf numFmtId="165" fontId="11" fillId="6" borderId="30" xfId="1" applyNumberFormat="1" applyFont="1" applyFill="1" applyBorder="1" applyProtection="1"/>
    <xf numFmtId="0" fontId="21" fillId="16" borderId="0" xfId="0" applyFont="1" applyFill="1" applyBorder="1" applyAlignment="1" applyProtection="1">
      <alignment horizontal="left" wrapText="1"/>
    </xf>
    <xf numFmtId="0" fontId="9" fillId="3" borderId="0" xfId="0" applyFont="1" applyFill="1" applyBorder="1" applyAlignment="1" applyProtection="1">
      <alignment horizontal="center" vertical="center"/>
    </xf>
    <xf numFmtId="10" fontId="9" fillId="3" borderId="0" xfId="0" applyNumberFormat="1" applyFont="1" applyFill="1" applyBorder="1" applyAlignment="1" applyProtection="1">
      <alignment horizontal="center" vertical="center"/>
    </xf>
    <xf numFmtId="167" fontId="9" fillId="8" borderId="33" xfId="0" applyNumberFormat="1" applyFont="1" applyFill="1" applyBorder="1" applyAlignment="1" applyProtection="1">
      <alignment horizontal="center" vertical="center" wrapText="1"/>
    </xf>
    <xf numFmtId="167" fontId="9" fillId="10" borderId="35" xfId="0" applyNumberFormat="1" applyFont="1" applyFill="1" applyBorder="1" applyAlignment="1" applyProtection="1">
      <alignment horizontal="center" vertical="center" wrapText="1"/>
    </xf>
    <xf numFmtId="167" fontId="9" fillId="10" borderId="36" xfId="0" applyNumberFormat="1" applyFont="1" applyFill="1" applyBorder="1" applyAlignment="1" applyProtection="1">
      <alignment horizontal="center" vertical="center" wrapText="1"/>
    </xf>
    <xf numFmtId="167" fontId="9" fillId="10" borderId="37" xfId="0" applyNumberFormat="1" applyFont="1" applyFill="1" applyBorder="1" applyAlignment="1" applyProtection="1">
      <alignment horizontal="center" vertical="center" wrapText="1"/>
    </xf>
    <xf numFmtId="0" fontId="21" fillId="16" borderId="61" xfId="0" applyFont="1" applyFill="1" applyBorder="1" applyAlignment="1" applyProtection="1">
      <alignment wrapText="1"/>
    </xf>
    <xf numFmtId="10" fontId="21" fillId="16" borderId="2" xfId="0" applyNumberFormat="1" applyFont="1" applyFill="1" applyBorder="1" applyAlignment="1" applyProtection="1">
      <alignment horizontal="center" wrapText="1"/>
    </xf>
    <xf numFmtId="0" fontId="21" fillId="16" borderId="2" xfId="0" applyFont="1" applyFill="1" applyBorder="1" applyAlignment="1" applyProtection="1">
      <alignment horizontal="center" wrapText="1"/>
    </xf>
    <xf numFmtId="0" fontId="21" fillId="16" borderId="2" xfId="0" applyFont="1" applyFill="1" applyBorder="1" applyAlignment="1" applyProtection="1">
      <alignment horizontal="center"/>
    </xf>
    <xf numFmtId="0" fontId="21" fillId="16" borderId="3" xfId="0" applyFont="1" applyFill="1" applyBorder="1" applyAlignment="1" applyProtection="1">
      <alignment horizontal="center"/>
    </xf>
    <xf numFmtId="0" fontId="35" fillId="16" borderId="2" xfId="0" applyFont="1" applyFill="1" applyBorder="1" applyProtection="1"/>
    <xf numFmtId="0" fontId="21" fillId="16" borderId="61" xfId="0" applyFont="1" applyFill="1" applyBorder="1" applyProtection="1"/>
    <xf numFmtId="10" fontId="21" fillId="16" borderId="2" xfId="0" applyNumberFormat="1" applyFont="1" applyFill="1" applyBorder="1" applyAlignment="1" applyProtection="1">
      <alignment horizontal="center"/>
    </xf>
    <xf numFmtId="3" fontId="21" fillId="16" borderId="2" xfId="0" applyNumberFormat="1" applyFont="1" applyFill="1" applyBorder="1" applyProtection="1"/>
    <xf numFmtId="0" fontId="21" fillId="16" borderId="0" xfId="0" applyFont="1" applyFill="1" applyProtection="1"/>
    <xf numFmtId="3" fontId="21" fillId="16" borderId="0" xfId="2" applyNumberFormat="1" applyFont="1" applyFill="1" applyProtection="1"/>
    <xf numFmtId="10" fontId="21" fillId="16" borderId="0" xfId="0" applyNumberFormat="1" applyFont="1" applyFill="1" applyProtection="1"/>
    <xf numFmtId="3" fontId="21" fillId="16" borderId="0" xfId="2" applyNumberFormat="1" applyFont="1" applyFill="1" applyBorder="1" applyProtection="1"/>
    <xf numFmtId="164" fontId="35" fillId="16" borderId="0" xfId="2" applyFont="1" applyFill="1" applyProtection="1"/>
    <xf numFmtId="3" fontId="35" fillId="16" borderId="0" xfId="0" applyNumberFormat="1" applyFont="1" applyFill="1" applyBorder="1" applyProtection="1"/>
    <xf numFmtId="3" fontId="39" fillId="16" borderId="0" xfId="0" applyNumberFormat="1" applyFont="1" applyFill="1" applyProtection="1"/>
    <xf numFmtId="0" fontId="5" fillId="7" borderId="0" xfId="0" applyFont="1" applyFill="1" applyAlignment="1" applyProtection="1">
      <alignment horizontal="right"/>
    </xf>
    <xf numFmtId="0" fontId="5" fillId="2" borderId="0" xfId="0" applyFont="1" applyFill="1" applyAlignment="1" applyProtection="1">
      <alignment horizontal="right"/>
    </xf>
    <xf numFmtId="0" fontId="3" fillId="3" borderId="0" xfId="0" applyFont="1" applyFill="1" applyBorder="1" applyAlignment="1" applyProtection="1">
      <alignment horizontal="right" vertical="center"/>
    </xf>
    <xf numFmtId="167" fontId="3" fillId="8" borderId="33" xfId="0" applyNumberFormat="1" applyFont="1" applyFill="1" applyBorder="1" applyAlignment="1" applyProtection="1">
      <alignment horizontal="center" vertical="center" wrapText="1"/>
    </xf>
    <xf numFmtId="167" fontId="3" fillId="8" borderId="34" xfId="0" applyNumberFormat="1" applyFont="1" applyFill="1" applyBorder="1" applyAlignment="1" applyProtection="1">
      <alignment horizontal="center" vertical="center" wrapText="1"/>
    </xf>
    <xf numFmtId="49" fontId="5" fillId="2" borderId="4" xfId="0" applyNumberFormat="1" applyFont="1" applyFill="1" applyBorder="1" applyAlignment="1" applyProtection="1">
      <alignment horizontal="left"/>
    </xf>
    <xf numFmtId="49" fontId="5" fillId="2" borderId="4" xfId="0" applyNumberFormat="1" applyFont="1" applyFill="1" applyBorder="1" applyAlignment="1" applyProtection="1">
      <alignment horizontal="right"/>
    </xf>
    <xf numFmtId="3" fontId="5" fillId="2" borderId="4" xfId="0" applyNumberFormat="1" applyFont="1" applyFill="1" applyBorder="1" applyAlignment="1" applyProtection="1"/>
    <xf numFmtId="3" fontId="5" fillId="2" borderId="32" xfId="0" applyNumberFormat="1" applyFont="1" applyFill="1" applyBorder="1" applyAlignment="1" applyProtection="1"/>
    <xf numFmtId="167" fontId="3" fillId="10" borderId="32" xfId="0" applyNumberFormat="1" applyFont="1" applyFill="1" applyBorder="1" applyAlignment="1" applyProtection="1">
      <alignment horizontal="center" vertical="center" wrapText="1"/>
    </xf>
    <xf numFmtId="0" fontId="5" fillId="7" borderId="0" xfId="0" quotePrefix="1" applyFont="1" applyFill="1" applyProtection="1"/>
    <xf numFmtId="0" fontId="40" fillId="7" borderId="0" xfId="0" applyFont="1" applyFill="1" applyAlignment="1" applyProtection="1">
      <alignment vertical="center"/>
    </xf>
    <xf numFmtId="0" fontId="9" fillId="3" borderId="4" xfId="0" applyFont="1" applyFill="1" applyBorder="1" applyAlignment="1" applyProtection="1">
      <alignment horizontal="left" vertical="center" wrapText="1"/>
    </xf>
    <xf numFmtId="0" fontId="9" fillId="3" borderId="4" xfId="0" applyFont="1" applyFill="1" applyBorder="1" applyAlignment="1" applyProtection="1">
      <alignment horizontal="center" wrapText="1"/>
    </xf>
    <xf numFmtId="0" fontId="36" fillId="3" borderId="4" xfId="0" applyFont="1" applyFill="1" applyBorder="1" applyAlignment="1" applyProtection="1">
      <alignment horizontal="center" wrapText="1"/>
    </xf>
    <xf numFmtId="0" fontId="0" fillId="2" borderId="74" xfId="0" applyFill="1" applyBorder="1" applyProtection="1"/>
    <xf numFmtId="0" fontId="57" fillId="7" borderId="0" xfId="0" applyFont="1" applyFill="1" applyProtection="1"/>
    <xf numFmtId="3" fontId="8" fillId="17" borderId="4" xfId="0" applyNumberFormat="1" applyFont="1" applyFill="1" applyBorder="1" applyProtection="1"/>
    <xf numFmtId="165" fontId="59" fillId="9" borderId="0" xfId="1" applyNumberFormat="1" applyFont="1" applyFill="1"/>
    <xf numFmtId="9" fontId="59" fillId="9" borderId="0" xfId="1" applyNumberFormat="1" applyFont="1" applyFill="1"/>
    <xf numFmtId="0" fontId="58" fillId="9" borderId="0" xfId="0" applyFont="1" applyFill="1" applyBorder="1" applyAlignment="1">
      <alignment horizontal="left"/>
    </xf>
    <xf numFmtId="0" fontId="58" fillId="9" borderId="0" xfId="0" applyFont="1" applyFill="1" applyBorder="1"/>
    <xf numFmtId="0" fontId="58" fillId="9" borderId="0" xfId="0" applyFont="1" applyFill="1" applyBorder="1" applyAlignment="1"/>
    <xf numFmtId="0" fontId="60" fillId="16" borderId="2" xfId="0" applyFont="1" applyFill="1" applyBorder="1" applyAlignment="1">
      <alignment horizontal="center" wrapText="1"/>
    </xf>
    <xf numFmtId="0" fontId="3" fillId="3" borderId="0" xfId="0" applyFont="1" applyFill="1" applyBorder="1" applyAlignment="1" applyProtection="1">
      <alignment vertical="center"/>
    </xf>
    <xf numFmtId="49" fontId="39" fillId="2" borderId="0" xfId="0" applyNumberFormat="1" applyFont="1" applyFill="1" applyBorder="1" applyAlignment="1" applyProtection="1">
      <alignment horizontal="left"/>
    </xf>
    <xf numFmtId="172" fontId="39" fillId="18" borderId="0" xfId="0" applyNumberFormat="1" applyFont="1" applyFill="1" applyBorder="1" applyAlignment="1" applyProtection="1">
      <alignment vertical="center"/>
    </xf>
    <xf numFmtId="3" fontId="37" fillId="16" borderId="2" xfId="0" applyNumberFormat="1" applyFont="1" applyFill="1" applyBorder="1" applyProtection="1">
      <protection locked="0"/>
    </xf>
    <xf numFmtId="3" fontId="52" fillId="2" borderId="62" xfId="0" applyNumberFormat="1" applyFont="1" applyFill="1" applyBorder="1" applyAlignment="1" applyProtection="1">
      <protection locked="0"/>
    </xf>
    <xf numFmtId="3" fontId="58" fillId="4" borderId="4" xfId="0" applyNumberFormat="1" applyFont="1" applyFill="1" applyBorder="1" applyAlignment="1" applyProtection="1">
      <protection locked="0"/>
    </xf>
    <xf numFmtId="165" fontId="58" fillId="9" borderId="0" xfId="1" applyNumberFormat="1" applyFont="1" applyFill="1" applyBorder="1"/>
    <xf numFmtId="3" fontId="61" fillId="4" borderId="4" xfId="0" applyNumberFormat="1" applyFont="1" applyFill="1" applyBorder="1" applyAlignment="1" applyProtection="1">
      <protection locked="0"/>
    </xf>
    <xf numFmtId="165" fontId="61" fillId="9" borderId="0" xfId="0" applyNumberFormat="1" applyFont="1" applyFill="1" applyBorder="1"/>
    <xf numFmtId="165" fontId="61" fillId="9" borderId="0" xfId="2" applyNumberFormat="1" applyFont="1" applyFill="1" applyBorder="1"/>
    <xf numFmtId="3" fontId="58" fillId="9" borderId="0" xfId="0" applyNumberFormat="1" applyFont="1" applyFill="1" applyBorder="1"/>
    <xf numFmtId="3" fontId="61" fillId="9" borderId="0" xfId="0" applyNumberFormat="1" applyFont="1" applyFill="1" applyBorder="1"/>
    <xf numFmtId="165" fontId="61" fillId="9" borderId="0" xfId="1" applyNumberFormat="1" applyFont="1" applyFill="1" applyBorder="1"/>
    <xf numFmtId="165" fontId="58" fillId="7" borderId="0" xfId="1" applyNumberFormat="1" applyFont="1" applyFill="1"/>
    <xf numFmtId="165" fontId="61" fillId="2" borderId="0" xfId="1" applyNumberFormat="1" applyFont="1" applyFill="1"/>
    <xf numFmtId="3" fontId="61" fillId="2" borderId="4" xfId="0" applyNumberFormat="1" applyFont="1" applyFill="1" applyBorder="1" applyAlignment="1" applyProtection="1">
      <protection locked="0"/>
    </xf>
    <xf numFmtId="0" fontId="58" fillId="2" borderId="0" xfId="0" applyFont="1" applyFill="1"/>
    <xf numFmtId="0" fontId="58" fillId="2" borderId="0" xfId="0" applyFont="1" applyFill="1" applyAlignment="1">
      <alignment horizontal="center"/>
    </xf>
    <xf numFmtId="0" fontId="61" fillId="2" borderId="0" xfId="0" applyFont="1" applyFill="1"/>
    <xf numFmtId="0" fontId="61" fillId="9" borderId="0" xfId="0" applyFont="1" applyFill="1"/>
    <xf numFmtId="165" fontId="58" fillId="2" borderId="0" xfId="1" applyNumberFormat="1" applyFont="1" applyFill="1"/>
    <xf numFmtId="3" fontId="58" fillId="7" borderId="0" xfId="0" applyNumberFormat="1" applyFont="1" applyFill="1"/>
    <xf numFmtId="0" fontId="61" fillId="7" borderId="0" xfId="0" applyFont="1" applyFill="1"/>
    <xf numFmtId="3" fontId="0" fillId="4" borderId="4" xfId="0" applyNumberFormat="1" applyFont="1" applyFill="1" applyBorder="1" applyAlignment="1" applyProtection="1">
      <protection locked="0"/>
    </xf>
    <xf numFmtId="165" fontId="2" fillId="7" borderId="0" xfId="1" applyNumberFormat="1" applyFont="1" applyFill="1"/>
    <xf numFmtId="165" fontId="0" fillId="7" borderId="0" xfId="1" applyNumberFormat="1" applyFont="1" applyFill="1"/>
    <xf numFmtId="0" fontId="2" fillId="7" borderId="0" xfId="0" applyFont="1" applyFill="1" applyAlignment="1">
      <alignment horizontal="center"/>
    </xf>
    <xf numFmtId="3" fontId="2" fillId="7" borderId="0" xfId="0" applyNumberFormat="1" applyFont="1" applyFill="1"/>
    <xf numFmtId="0" fontId="61" fillId="9" borderId="0" xfId="0" applyFont="1" applyFill="1" applyBorder="1"/>
    <xf numFmtId="0" fontId="37" fillId="4" borderId="4" xfId="0" applyFont="1" applyFill="1" applyBorder="1" applyAlignment="1" applyProtection="1">
      <alignment horizontal="center" vertical="top"/>
      <protection locked="0"/>
    </xf>
    <xf numFmtId="0" fontId="42" fillId="9" borderId="0" xfId="0" applyFont="1" applyFill="1" applyAlignment="1">
      <alignment vertical="top"/>
    </xf>
    <xf numFmtId="0" fontId="42" fillId="9" borderId="0" xfId="0" applyFont="1" applyFill="1" applyAlignment="1"/>
    <xf numFmtId="167" fontId="3" fillId="8" borderId="85" xfId="0" applyNumberFormat="1" applyFont="1" applyFill="1" applyBorder="1" applyAlignment="1" applyProtection="1">
      <alignment horizontal="center" vertical="center" wrapText="1"/>
      <protection locked="0"/>
    </xf>
    <xf numFmtId="0" fontId="0" fillId="7" borderId="0" xfId="0" applyFill="1" applyAlignment="1" applyProtection="1">
      <alignment horizontal="center"/>
    </xf>
    <xf numFmtId="0" fontId="3" fillId="20" borderId="0" xfId="0" applyFont="1" applyFill="1" applyBorder="1" applyAlignment="1" applyProtection="1">
      <alignment horizontal="center" vertical="center" wrapText="1"/>
    </xf>
    <xf numFmtId="0" fontId="62" fillId="9" borderId="0" xfId="0" applyFont="1" applyFill="1" applyBorder="1"/>
    <xf numFmtId="0" fontId="0" fillId="7" borderId="0" xfId="0" applyFill="1" applyAlignment="1" applyProtection="1">
      <alignment horizontal="right"/>
    </xf>
    <xf numFmtId="3" fontId="63" fillId="4" borderId="4" xfId="0" applyNumberFormat="1" applyFont="1" applyFill="1" applyBorder="1" applyAlignment="1" applyProtection="1">
      <protection locked="0"/>
    </xf>
    <xf numFmtId="9" fontId="8" fillId="4" borderId="87" xfId="1" applyNumberFormat="1" applyFont="1" applyFill="1" applyBorder="1" applyAlignment="1" applyProtection="1">
      <protection locked="0"/>
    </xf>
    <xf numFmtId="3" fontId="21" fillId="16" borderId="0" xfId="0" applyNumberFormat="1" applyFont="1" applyFill="1" applyBorder="1" applyAlignment="1" applyProtection="1">
      <alignment horizontal="left" wrapText="1"/>
    </xf>
    <xf numFmtId="0" fontId="69" fillId="7" borderId="0" xfId="0" applyFont="1" applyFill="1" applyAlignment="1" applyProtection="1">
      <alignment vertical="center"/>
    </xf>
    <xf numFmtId="0" fontId="35" fillId="7" borderId="0" xfId="0" applyFont="1" applyFill="1" applyAlignment="1" applyProtection="1">
      <alignment wrapText="1"/>
    </xf>
    <xf numFmtId="0" fontId="20" fillId="3" borderId="40" xfId="0" applyFont="1" applyFill="1" applyBorder="1" applyAlignment="1" applyProtection="1">
      <alignment vertical="center" wrapText="1"/>
    </xf>
    <xf numFmtId="0" fontId="20" fillId="3" borderId="40" xfId="0" applyFont="1" applyFill="1" applyBorder="1" applyAlignment="1" applyProtection="1">
      <alignment horizontal="center" vertical="center" wrapText="1"/>
    </xf>
    <xf numFmtId="0" fontId="39" fillId="0" borderId="73" xfId="0" applyFont="1" applyBorder="1" applyAlignment="1" applyProtection="1">
      <alignment vertical="center" wrapText="1"/>
    </xf>
    <xf numFmtId="0" fontId="39" fillId="0" borderId="73" xfId="0" applyFont="1" applyBorder="1" applyAlignment="1" applyProtection="1">
      <alignment vertical="top" wrapText="1"/>
      <protection locked="0"/>
    </xf>
    <xf numFmtId="0" fontId="39" fillId="21" borderId="73" xfId="0" applyFont="1" applyFill="1" applyBorder="1" applyAlignment="1" applyProtection="1">
      <alignment vertical="top" wrapText="1"/>
    </xf>
    <xf numFmtId="0" fontId="39" fillId="22" borderId="73" xfId="0" applyFont="1" applyFill="1" applyBorder="1" applyAlignment="1" applyProtection="1">
      <alignment vertical="top" wrapText="1"/>
      <protection locked="0"/>
    </xf>
    <xf numFmtId="0" fontId="39" fillId="2" borderId="73" xfId="0" applyFont="1" applyFill="1" applyBorder="1" applyAlignment="1" applyProtection="1">
      <alignment vertical="top" wrapText="1"/>
      <protection locked="0"/>
    </xf>
    <xf numFmtId="0" fontId="39" fillId="22" borderId="73" xfId="0" applyFont="1" applyFill="1" applyBorder="1" applyAlignment="1" applyProtection="1">
      <alignment vertical="top" wrapText="1"/>
    </xf>
    <xf numFmtId="0" fontId="22" fillId="21" borderId="73" xfId="0" applyFont="1" applyFill="1" applyBorder="1" applyAlignment="1" applyProtection="1">
      <alignment horizontal="center" vertical="center" wrapText="1"/>
    </xf>
    <xf numFmtId="0" fontId="70" fillId="21" borderId="73" xfId="0" applyFont="1" applyFill="1" applyBorder="1" applyAlignment="1" applyProtection="1">
      <alignment horizontal="center" wrapText="1"/>
    </xf>
    <xf numFmtId="0" fontId="39" fillId="0" borderId="96" xfId="0" applyFont="1" applyBorder="1" applyAlignment="1" applyProtection="1">
      <alignment horizontal="left" vertical="center" wrapText="1"/>
    </xf>
    <xf numFmtId="0" fontId="39" fillId="0" borderId="88" xfId="0" applyFont="1" applyBorder="1" applyAlignment="1" applyProtection="1">
      <alignment horizontal="left" vertical="top" wrapText="1"/>
    </xf>
    <xf numFmtId="0" fontId="39" fillId="22" borderId="97" xfId="0" applyFont="1" applyFill="1" applyBorder="1" applyAlignment="1" applyProtection="1">
      <alignment horizontal="left" vertical="top" wrapText="1"/>
    </xf>
    <xf numFmtId="0" fontId="39" fillId="0" borderId="74" xfId="0" applyFont="1" applyBorder="1" applyAlignment="1" applyProtection="1">
      <alignment horizontal="left" vertical="top" wrapText="1"/>
    </xf>
    <xf numFmtId="0" fontId="39" fillId="0" borderId="23" xfId="0" applyFont="1" applyBorder="1" applyAlignment="1" applyProtection="1">
      <alignment horizontal="left" vertical="center" wrapText="1"/>
    </xf>
    <xf numFmtId="0" fontId="39" fillId="0" borderId="98" xfId="0" applyFont="1" applyBorder="1" applyAlignment="1" applyProtection="1">
      <alignment horizontal="left" vertical="top" wrapText="1"/>
    </xf>
    <xf numFmtId="0" fontId="39" fillId="0" borderId="99" xfId="0" applyFont="1" applyBorder="1" applyAlignment="1" applyProtection="1">
      <alignment horizontal="left" vertical="top" wrapText="1"/>
    </xf>
    <xf numFmtId="0" fontId="39" fillId="0" borderId="100" xfId="0" applyFont="1" applyBorder="1" applyAlignment="1" applyProtection="1">
      <alignment horizontal="left" vertical="center" wrapText="1"/>
    </xf>
    <xf numFmtId="0" fontId="39" fillId="0" borderId="101" xfId="0" applyFont="1" applyBorder="1" applyAlignment="1" applyProtection="1">
      <alignment horizontal="left" vertical="top" wrapText="1"/>
    </xf>
    <xf numFmtId="0" fontId="39" fillId="0" borderId="102" xfId="0" applyFont="1" applyBorder="1" applyAlignment="1" applyProtection="1">
      <alignment horizontal="left" vertical="top" wrapText="1"/>
    </xf>
    <xf numFmtId="0" fontId="39" fillId="22" borderId="27" xfId="0" applyFont="1" applyFill="1" applyBorder="1" applyAlignment="1" applyProtection="1">
      <alignment horizontal="left" vertical="top"/>
    </xf>
    <xf numFmtId="0" fontId="39" fillId="2" borderId="29" xfId="0" applyFont="1" applyFill="1" applyBorder="1" applyAlignment="1" applyProtection="1">
      <alignment horizontal="left" vertical="top" wrapText="1"/>
    </xf>
    <xf numFmtId="0" fontId="39" fillId="21" borderId="97" xfId="0" applyFont="1" applyFill="1" applyBorder="1" applyAlignment="1" applyProtection="1">
      <alignment horizontal="left" vertical="top" wrapText="1"/>
    </xf>
    <xf numFmtId="0" fontId="39" fillId="21" borderId="103" xfId="0" applyFont="1" applyFill="1" applyBorder="1" applyAlignment="1" applyProtection="1">
      <alignment horizontal="left" vertical="top" wrapText="1"/>
    </xf>
    <xf numFmtId="0" fontId="39" fillId="21" borderId="104" xfId="0" applyFont="1" applyFill="1" applyBorder="1" applyAlignment="1" applyProtection="1">
      <alignment horizontal="left" vertical="top" wrapText="1"/>
    </xf>
    <xf numFmtId="0" fontId="39" fillId="21" borderId="0" xfId="0" applyFont="1" applyFill="1" applyBorder="1" applyAlignment="1" applyProtection="1">
      <alignment horizontal="left" vertical="top" wrapText="1"/>
    </xf>
    <xf numFmtId="0" fontId="39" fillId="0" borderId="27" xfId="0" applyFont="1" applyBorder="1" applyAlignment="1" applyProtection="1">
      <alignment horizontal="left" vertical="center" wrapText="1"/>
    </xf>
    <xf numFmtId="0" fontId="39" fillId="22" borderId="101" xfId="0" applyFont="1" applyFill="1" applyBorder="1" applyAlignment="1" applyProtection="1">
      <alignment horizontal="left" vertical="top" wrapText="1"/>
    </xf>
    <xf numFmtId="0" fontId="39" fillId="22" borderId="102" xfId="0" applyFont="1" applyFill="1" applyBorder="1" applyAlignment="1" applyProtection="1">
      <alignment horizontal="left" vertical="top" wrapText="1"/>
    </xf>
    <xf numFmtId="3" fontId="7" fillId="7" borderId="0" xfId="0" applyNumberFormat="1" applyFont="1" applyFill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0" fillId="7" borderId="0" xfId="0" applyFill="1" applyAlignment="1">
      <alignment horizontal="left"/>
    </xf>
    <xf numFmtId="0" fontId="71" fillId="7" borderId="0" xfId="0" applyFont="1" applyFill="1"/>
    <xf numFmtId="3" fontId="72" fillId="7" borderId="0" xfId="0" applyNumberFormat="1" applyFont="1" applyFill="1"/>
    <xf numFmtId="3" fontId="71" fillId="7" borderId="0" xfId="0" applyNumberFormat="1" applyFont="1" applyFill="1"/>
    <xf numFmtId="0" fontId="2" fillId="7" borderId="0" xfId="0" applyFont="1" applyFill="1" applyAlignment="1" applyProtection="1">
      <alignment horizontal="center" vertical="center"/>
    </xf>
    <xf numFmtId="0" fontId="0" fillId="7" borderId="0" xfId="0" applyFill="1" applyBorder="1" applyProtection="1"/>
    <xf numFmtId="0" fontId="2" fillId="7" borderId="0" xfId="0" applyFont="1" applyFill="1" applyBorder="1" applyAlignment="1" applyProtection="1">
      <alignment horizontal="center" vertical="center"/>
    </xf>
    <xf numFmtId="0" fontId="75" fillId="9" borderId="0" xfId="0" applyFont="1" applyFill="1"/>
    <xf numFmtId="0" fontId="0" fillId="9" borderId="0" xfId="0" applyFill="1"/>
    <xf numFmtId="0" fontId="0" fillId="9" borderId="0" xfId="0" applyFill="1" applyBorder="1"/>
    <xf numFmtId="0" fontId="21" fillId="16" borderId="0" xfId="0" applyFont="1" applyFill="1" applyBorder="1" applyAlignment="1" applyProtection="1">
      <alignment horizontal="left" wrapText="1"/>
    </xf>
    <xf numFmtId="0" fontId="5" fillId="7" borderId="0" xfId="0" applyFont="1" applyFill="1" applyAlignment="1" applyProtection="1">
      <alignment horizontal="right"/>
    </xf>
    <xf numFmtId="0" fontId="3" fillId="3" borderId="0" xfId="0" applyFont="1" applyFill="1" applyBorder="1" applyAlignment="1" applyProtection="1">
      <alignment horizontal="center" vertical="center" wrapText="1"/>
    </xf>
    <xf numFmtId="0" fontId="21" fillId="16" borderId="0" xfId="0" applyFont="1" applyFill="1" applyBorder="1" applyAlignment="1" applyProtection="1">
      <alignment horizontal="left" wrapText="1"/>
    </xf>
    <xf numFmtId="3" fontId="30" fillId="16" borderId="0" xfId="0" applyNumberFormat="1" applyFont="1" applyFill="1" applyProtection="1"/>
    <xf numFmtId="0" fontId="3" fillId="3" borderId="0" xfId="0" applyFont="1" applyFill="1" applyBorder="1" applyAlignment="1" applyProtection="1">
      <alignment horizontal="left" vertical="center"/>
    </xf>
    <xf numFmtId="0" fontId="76" fillId="16" borderId="0" xfId="0" applyFont="1" applyFill="1" applyProtection="1"/>
    <xf numFmtId="0" fontId="29" fillId="7" borderId="0" xfId="0" applyFont="1" applyFill="1" applyAlignment="1" applyProtection="1">
      <alignment horizontal="right"/>
    </xf>
    <xf numFmtId="3" fontId="76" fillId="16" borderId="0" xfId="0" applyNumberFormat="1" applyFont="1" applyFill="1" applyProtection="1"/>
    <xf numFmtId="0" fontId="5" fillId="7" borderId="0" xfId="0" applyFont="1" applyFill="1" applyAlignment="1" applyProtection="1">
      <alignment horizontal="right"/>
    </xf>
    <xf numFmtId="0" fontId="39" fillId="16" borderId="0" xfId="0" applyFont="1" applyFill="1" applyProtection="1"/>
    <xf numFmtId="0" fontId="0" fillId="7" borderId="0" xfId="0" applyFont="1" applyFill="1" applyAlignment="1" applyProtection="1">
      <alignment horizontal="right"/>
    </xf>
    <xf numFmtId="0" fontId="0" fillId="24" borderId="0" xfId="0" applyFill="1" applyAlignment="1">
      <alignment horizontal="right"/>
    </xf>
    <xf numFmtId="0" fontId="0" fillId="24" borderId="0" xfId="0" applyFill="1" applyAlignment="1">
      <alignment horizontal="left"/>
    </xf>
    <xf numFmtId="14" fontId="78" fillId="0" borderId="73" xfId="0" applyNumberFormat="1" applyFont="1" applyFill="1" applyBorder="1" applyAlignment="1">
      <alignment horizontal="center"/>
    </xf>
    <xf numFmtId="0" fontId="0" fillId="24" borderId="0" xfId="0" applyFill="1"/>
    <xf numFmtId="3" fontId="2" fillId="24" borderId="0" xfId="0" applyNumberFormat="1" applyFont="1" applyFill="1"/>
    <xf numFmtId="0" fontId="0" fillId="24" borderId="0" xfId="0" applyFill="1" applyBorder="1"/>
    <xf numFmtId="4" fontId="0" fillId="24" borderId="73" xfId="0" applyNumberFormat="1" applyFill="1" applyBorder="1"/>
    <xf numFmtId="3" fontId="0" fillId="24" borderId="0" xfId="0" applyNumberFormat="1" applyFill="1"/>
    <xf numFmtId="0" fontId="63" fillId="24" borderId="0" xfId="0" applyFont="1" applyFill="1" applyAlignment="1">
      <alignment horizontal="right"/>
    </xf>
    <xf numFmtId="0" fontId="11" fillId="24" borderId="0" xfId="0" applyFont="1" applyFill="1" applyAlignment="1">
      <alignment horizontal="left"/>
    </xf>
    <xf numFmtId="175" fontId="77" fillId="2" borderId="73" xfId="0" applyNumberFormat="1" applyFont="1" applyFill="1" applyBorder="1" applyAlignment="1">
      <alignment horizontal="center"/>
    </xf>
    <xf numFmtId="0" fontId="2" fillId="24" borderId="0" xfId="0" applyFont="1" applyFill="1" applyAlignment="1">
      <alignment horizontal="left"/>
    </xf>
    <xf numFmtId="0" fontId="79" fillId="24" borderId="0" xfId="0" applyFont="1" applyFill="1" applyAlignment="1">
      <alignment horizontal="center"/>
    </xf>
    <xf numFmtId="0" fontId="79" fillId="24" borderId="73" xfId="0" applyFont="1" applyFill="1" applyBorder="1" applyAlignment="1">
      <alignment horizontal="center" wrapText="1"/>
    </xf>
    <xf numFmtId="0" fontId="79" fillId="25" borderId="89" xfId="0" applyFont="1" applyFill="1" applyBorder="1" applyAlignment="1">
      <alignment horizontal="center" wrapText="1"/>
    </xf>
    <xf numFmtId="0" fontId="79" fillId="24" borderId="89" xfId="0" applyFont="1" applyFill="1" applyBorder="1" applyAlignment="1">
      <alignment horizontal="center" wrapText="1"/>
    </xf>
    <xf numFmtId="0" fontId="79" fillId="6" borderId="90" xfId="0" applyFont="1" applyFill="1" applyBorder="1" applyAlignment="1">
      <alignment horizontal="center" wrapText="1"/>
    </xf>
    <xf numFmtId="0" fontId="79" fillId="24" borderId="43" xfId="0" applyFont="1" applyFill="1" applyBorder="1" applyAlignment="1">
      <alignment horizontal="center" wrapText="1"/>
    </xf>
    <xf numFmtId="0" fontId="79" fillId="26" borderId="44" xfId="0" applyFont="1" applyFill="1" applyBorder="1" applyAlignment="1">
      <alignment horizontal="center" wrapText="1"/>
    </xf>
    <xf numFmtId="0" fontId="79" fillId="27" borderId="44" xfId="0" applyFont="1" applyFill="1" applyBorder="1" applyAlignment="1">
      <alignment horizontal="center" wrapText="1"/>
    </xf>
    <xf numFmtId="0" fontId="79" fillId="24" borderId="90" xfId="0" applyFont="1" applyFill="1" applyBorder="1" applyAlignment="1">
      <alignment horizontal="center"/>
    </xf>
    <xf numFmtId="0" fontId="79" fillId="25" borderId="109" xfId="0" applyFont="1" applyFill="1" applyBorder="1" applyAlignment="1">
      <alignment horizontal="center" wrapText="1"/>
    </xf>
    <xf numFmtId="0" fontId="79" fillId="6" borderId="73" xfId="0" applyFont="1" applyFill="1" applyBorder="1" applyAlignment="1">
      <alignment horizontal="center" vertical="center" wrapText="1"/>
    </xf>
    <xf numFmtId="0" fontId="79" fillId="26" borderId="73" xfId="0" applyFont="1" applyFill="1" applyBorder="1" applyAlignment="1">
      <alignment horizontal="center" vertical="center" wrapText="1"/>
    </xf>
    <xf numFmtId="0" fontId="79" fillId="27" borderId="73" xfId="0" applyFont="1" applyFill="1" applyBorder="1" applyAlignment="1">
      <alignment horizontal="center" vertical="center" wrapText="1"/>
    </xf>
    <xf numFmtId="0" fontId="79" fillId="24" borderId="73" xfId="0" applyFont="1" applyFill="1" applyBorder="1" applyAlignment="1">
      <alignment horizontal="center" vertical="center" wrapText="1"/>
    </xf>
    <xf numFmtId="0" fontId="79" fillId="24" borderId="0" xfId="0" applyFont="1" applyFill="1"/>
    <xf numFmtId="0" fontId="79" fillId="24" borderId="0" xfId="0" applyFont="1" applyFill="1" applyAlignment="1">
      <alignment horizontal="center" wrapText="1"/>
    </xf>
    <xf numFmtId="0" fontId="77" fillId="0" borderId="109" xfId="0" applyFont="1" applyFill="1" applyBorder="1" applyAlignment="1">
      <alignment horizontal="right" indent="1"/>
    </xf>
    <xf numFmtId="0" fontId="77" fillId="0" borderId="109" xfId="0" applyFont="1" applyFill="1" applyBorder="1" applyAlignment="1">
      <alignment horizontal="center"/>
    </xf>
    <xf numFmtId="3" fontId="0" fillId="24" borderId="89" xfId="0" applyNumberFormat="1" applyFill="1" applyBorder="1" applyAlignment="1"/>
    <xf numFmtId="165" fontId="77" fillId="0" borderId="89" xfId="0" applyNumberFormat="1" applyFont="1" applyFill="1" applyBorder="1"/>
    <xf numFmtId="176" fontId="0" fillId="24" borderId="90" xfId="0" applyNumberFormat="1" applyFill="1" applyBorder="1"/>
    <xf numFmtId="176" fontId="0" fillId="24" borderId="110" xfId="0" applyNumberFormat="1" applyFill="1" applyBorder="1"/>
    <xf numFmtId="177" fontId="80" fillId="0" borderId="89" xfId="1" applyNumberFormat="1" applyFont="1" applyFill="1" applyBorder="1"/>
    <xf numFmtId="3" fontId="11" fillId="24" borderId="90" xfId="0" applyNumberFormat="1" applyFont="1" applyFill="1" applyBorder="1"/>
    <xf numFmtId="176" fontId="11" fillId="24" borderId="73" xfId="0" applyNumberFormat="1" applyFont="1" applyFill="1" applyBorder="1"/>
    <xf numFmtId="176" fontId="2" fillId="24" borderId="73" xfId="0" applyNumberFormat="1" applyFont="1" applyFill="1" applyBorder="1"/>
    <xf numFmtId="0" fontId="77" fillId="0" borderId="111" xfId="0" applyFont="1" applyFill="1" applyBorder="1" applyAlignment="1">
      <alignment horizontal="right" indent="1"/>
    </xf>
    <xf numFmtId="0" fontId="77" fillId="0" borderId="111" xfId="0" applyFont="1" applyFill="1" applyBorder="1" applyAlignment="1">
      <alignment horizontal="center"/>
    </xf>
    <xf numFmtId="3" fontId="0" fillId="24" borderId="91" xfId="0" applyNumberFormat="1" applyFill="1" applyBorder="1" applyAlignment="1"/>
    <xf numFmtId="165" fontId="77" fillId="0" borderId="91" xfId="0" applyNumberFormat="1" applyFont="1" applyFill="1" applyBorder="1"/>
    <xf numFmtId="176" fontId="0" fillId="24" borderId="92" xfId="0" applyNumberFormat="1" applyFill="1" applyBorder="1"/>
    <xf numFmtId="176" fontId="0" fillId="24" borderId="0" xfId="0" applyNumberFormat="1" applyFill="1" applyBorder="1"/>
    <xf numFmtId="177" fontId="80" fillId="0" borderId="91" xfId="1" applyNumberFormat="1" applyFont="1" applyFill="1" applyBorder="1"/>
    <xf numFmtId="3" fontId="11" fillId="24" borderId="92" xfId="0" applyNumberFormat="1" applyFont="1" applyFill="1" applyBorder="1"/>
    <xf numFmtId="0" fontId="77" fillId="0" borderId="84" xfId="0" applyFont="1" applyFill="1" applyBorder="1" applyAlignment="1">
      <alignment horizontal="right" indent="1"/>
    </xf>
    <xf numFmtId="0" fontId="77" fillId="0" borderId="84" xfId="0" applyFont="1" applyFill="1" applyBorder="1" applyAlignment="1">
      <alignment horizontal="center"/>
    </xf>
    <xf numFmtId="3" fontId="0" fillId="24" borderId="93" xfId="0" applyNumberFormat="1" applyFill="1" applyBorder="1" applyAlignment="1"/>
    <xf numFmtId="165" fontId="77" fillId="0" borderId="93" xfId="0" applyNumberFormat="1" applyFont="1" applyFill="1" applyBorder="1"/>
    <xf numFmtId="176" fontId="0" fillId="24" borderId="94" xfId="0" applyNumberFormat="1" applyFill="1" applyBorder="1"/>
    <xf numFmtId="176" fontId="0" fillId="24" borderId="108" xfId="0" applyNumberFormat="1" applyFill="1" applyBorder="1"/>
    <xf numFmtId="177" fontId="80" fillId="0" borderId="93" xfId="1" applyNumberFormat="1" applyFont="1" applyFill="1" applyBorder="1"/>
    <xf numFmtId="3" fontId="11" fillId="24" borderId="94" xfId="0" applyNumberFormat="1" applyFont="1" applyFill="1" applyBorder="1"/>
    <xf numFmtId="176" fontId="0" fillId="24" borderId="0" xfId="0" applyNumberFormat="1" applyFill="1"/>
    <xf numFmtId="177" fontId="8" fillId="24" borderId="0" xfId="0" applyNumberFormat="1" applyFont="1" applyFill="1"/>
    <xf numFmtId="3" fontId="11" fillId="24" borderId="0" xfId="0" applyNumberFormat="1" applyFont="1" applyFill="1"/>
    <xf numFmtId="0" fontId="11" fillId="24" borderId="0" xfId="0" applyFont="1" applyFill="1" applyAlignment="1"/>
    <xf numFmtId="1" fontId="77" fillId="2" borderId="73" xfId="0" applyNumberFormat="1" applyFont="1" applyFill="1" applyBorder="1" applyAlignment="1">
      <alignment horizontal="center"/>
    </xf>
    <xf numFmtId="0" fontId="2" fillId="24" borderId="0" xfId="0" applyFont="1" applyFill="1" applyAlignment="1"/>
    <xf numFmtId="0" fontId="81" fillId="24" borderId="0" xfId="0" applyFont="1" applyFill="1" applyAlignment="1">
      <alignment horizontal="center"/>
    </xf>
    <xf numFmtId="0" fontId="79" fillId="6" borderId="73" xfId="0" applyFont="1" applyFill="1" applyBorder="1" applyAlignment="1">
      <alignment horizontal="right" vertical="center" wrapText="1"/>
    </xf>
    <xf numFmtId="0" fontId="79" fillId="26" borderId="73" xfId="0" applyFont="1" applyFill="1" applyBorder="1" applyAlignment="1">
      <alignment horizontal="right" vertical="center" wrapText="1"/>
    </xf>
    <xf numFmtId="0" fontId="79" fillId="27" borderId="73" xfId="0" applyFont="1" applyFill="1" applyBorder="1" applyAlignment="1">
      <alignment horizontal="right" vertical="center" wrapText="1"/>
    </xf>
    <xf numFmtId="0" fontId="79" fillId="24" borderId="73" xfId="0" applyFont="1" applyFill="1" applyBorder="1" applyAlignment="1">
      <alignment horizontal="right" vertical="center" wrapText="1"/>
    </xf>
    <xf numFmtId="0" fontId="57" fillId="24" borderId="0" xfId="0" applyFont="1" applyFill="1"/>
    <xf numFmtId="0" fontId="0" fillId="24" borderId="0" xfId="0" quotePrefix="1" applyFill="1"/>
    <xf numFmtId="170" fontId="2" fillId="2" borderId="30" xfId="0" applyNumberFormat="1" applyFont="1" applyFill="1" applyBorder="1" applyAlignment="1">
      <alignment horizontal="center" vertical="center"/>
    </xf>
    <xf numFmtId="0" fontId="5" fillId="7" borderId="0" xfId="0" applyFont="1" applyFill="1" applyAlignment="1" applyProtection="1">
      <alignment horizontal="right"/>
    </xf>
    <xf numFmtId="0" fontId="2" fillId="7" borderId="0" xfId="0" applyFont="1" applyFill="1" applyAlignment="1">
      <alignment horizontal="right"/>
    </xf>
    <xf numFmtId="0" fontId="6" fillId="5" borderId="0" xfId="0" applyFont="1" applyFill="1" applyBorder="1" applyAlignment="1">
      <alignment horizontal="center" vertical="center" wrapText="1"/>
    </xf>
    <xf numFmtId="9" fontId="0" fillId="0" borderId="0" xfId="0" applyNumberFormat="1"/>
    <xf numFmtId="3" fontId="8" fillId="2" borderId="112" xfId="0" applyNumberFormat="1" applyFont="1" applyFill="1" applyBorder="1" applyAlignment="1" applyProtection="1">
      <alignment horizontal="center"/>
      <protection locked="0"/>
    </xf>
    <xf numFmtId="0" fontId="0" fillId="28" borderId="0" xfId="0" applyFill="1" applyBorder="1" applyAlignment="1" applyProtection="1">
      <alignment horizontal="right"/>
    </xf>
    <xf numFmtId="9" fontId="1" fillId="24" borderId="0" xfId="1" applyFont="1" applyFill="1" applyBorder="1" applyProtection="1">
      <protection locked="0"/>
    </xf>
    <xf numFmtId="0" fontId="9" fillId="3" borderId="54" xfId="0" applyFont="1" applyFill="1" applyBorder="1" applyAlignment="1" applyProtection="1">
      <alignment horizontal="left" vertical="center" wrapText="1"/>
    </xf>
    <xf numFmtId="0" fontId="9" fillId="3" borderId="57" xfId="0" applyFont="1" applyFill="1" applyBorder="1" applyAlignment="1" applyProtection="1">
      <alignment horizontal="left" vertical="center" wrapText="1"/>
    </xf>
    <xf numFmtId="0" fontId="2" fillId="0" borderId="0" xfId="0" applyFont="1" applyAlignment="1">
      <alignment horizontal="center"/>
    </xf>
    <xf numFmtId="9" fontId="0" fillId="0" borderId="0" xfId="1" applyFont="1"/>
    <xf numFmtId="1" fontId="0" fillId="0" borderId="0" xfId="0" applyNumberFormat="1"/>
    <xf numFmtId="3" fontId="0" fillId="13" borderId="0" xfId="0" applyNumberFormat="1" applyFill="1"/>
    <xf numFmtId="178" fontId="1" fillId="0" borderId="0" xfId="1" applyNumberFormat="1" applyFont="1"/>
    <xf numFmtId="170" fontId="0" fillId="0" borderId="0" xfId="2" applyNumberFormat="1" applyFont="1"/>
    <xf numFmtId="170" fontId="0" fillId="0" borderId="0" xfId="0" applyNumberFormat="1"/>
    <xf numFmtId="0" fontId="41" fillId="3" borderId="70" xfId="0" applyFont="1" applyFill="1" applyBorder="1" applyAlignment="1">
      <alignment horizontal="center"/>
    </xf>
    <xf numFmtId="0" fontId="5" fillId="7" borderId="0" xfId="0" applyNumberFormat="1" applyFont="1" applyFill="1" applyProtection="1"/>
    <xf numFmtId="3" fontId="5" fillId="4" borderId="54" xfId="0" applyNumberFormat="1" applyFont="1" applyFill="1" applyBorder="1" applyAlignment="1" applyProtection="1"/>
    <xf numFmtId="3" fontId="5" fillId="4" borderId="55" xfId="0" applyNumberFormat="1" applyFont="1" applyFill="1" applyBorder="1" applyAlignment="1" applyProtection="1"/>
    <xf numFmtId="3" fontId="5" fillId="4" borderId="26" xfId="0" applyNumberFormat="1" applyFont="1" applyFill="1" applyBorder="1" applyAlignment="1" applyProtection="1"/>
    <xf numFmtId="3" fontId="5" fillId="4" borderId="5" xfId="0" applyNumberFormat="1" applyFont="1" applyFill="1" applyBorder="1" applyAlignment="1" applyProtection="1"/>
    <xf numFmtId="3" fontId="7" fillId="4" borderId="54" xfId="0" applyNumberFormat="1" applyFont="1" applyFill="1" applyBorder="1" applyAlignment="1" applyProtection="1"/>
    <xf numFmtId="3" fontId="7" fillId="4" borderId="55" xfId="0" applyNumberFormat="1" applyFont="1" applyFill="1" applyBorder="1" applyAlignment="1" applyProtection="1"/>
    <xf numFmtId="3" fontId="7" fillId="4" borderId="26" xfId="0" applyNumberFormat="1" applyFont="1" applyFill="1" applyBorder="1" applyAlignment="1" applyProtection="1"/>
    <xf numFmtId="3" fontId="7" fillId="4" borderId="5" xfId="0" applyNumberFormat="1" applyFont="1" applyFill="1" applyBorder="1" applyAlignment="1" applyProtection="1"/>
    <xf numFmtId="3" fontId="5" fillId="9" borderId="31" xfId="0" applyNumberFormat="1" applyFont="1" applyFill="1" applyBorder="1" applyProtection="1"/>
    <xf numFmtId="0" fontId="5" fillId="9" borderId="0" xfId="0" applyFont="1" applyFill="1" applyBorder="1" applyProtection="1"/>
    <xf numFmtId="0" fontId="5" fillId="9" borderId="56" xfId="0" applyFont="1" applyFill="1" applyBorder="1" applyProtection="1"/>
    <xf numFmtId="0" fontId="5" fillId="9" borderId="31" xfId="0" applyFont="1" applyFill="1" applyBorder="1" applyProtection="1"/>
    <xf numFmtId="3" fontId="7" fillId="4" borderId="57" xfId="0" applyNumberFormat="1" applyFont="1" applyFill="1" applyBorder="1" applyAlignment="1" applyProtection="1"/>
    <xf numFmtId="3" fontId="7" fillId="4" borderId="58" xfId="0" applyNumberFormat="1" applyFont="1" applyFill="1" applyBorder="1" applyAlignment="1" applyProtection="1"/>
    <xf numFmtId="3" fontId="7" fillId="4" borderId="59" xfId="0" applyNumberFormat="1" applyFont="1" applyFill="1" applyBorder="1" applyAlignment="1" applyProtection="1"/>
    <xf numFmtId="3" fontId="7" fillId="4" borderId="86" xfId="0" applyNumberFormat="1" applyFont="1" applyFill="1" applyBorder="1" applyAlignment="1" applyProtection="1"/>
    <xf numFmtId="3" fontId="7" fillId="4" borderId="116" xfId="0" applyNumberFormat="1" applyFont="1" applyFill="1" applyBorder="1" applyAlignment="1" applyProtection="1"/>
    <xf numFmtId="3" fontId="11" fillId="4" borderId="4" xfId="0" applyNumberFormat="1" applyFont="1" applyFill="1" applyBorder="1" applyAlignment="1" applyProtection="1"/>
    <xf numFmtId="3" fontId="8" fillId="4" borderId="4" xfId="0" applyNumberFormat="1" applyFont="1" applyFill="1" applyBorder="1" applyAlignment="1" applyProtection="1"/>
    <xf numFmtId="3" fontId="11" fillId="7" borderId="0" xfId="0" applyNumberFormat="1" applyFont="1" applyFill="1" applyProtection="1"/>
    <xf numFmtId="49" fontId="5" fillId="24" borderId="4" xfId="0" applyNumberFormat="1" applyFont="1" applyFill="1" applyBorder="1" applyAlignment="1" applyProtection="1">
      <alignment horizontal="left"/>
    </xf>
    <xf numFmtId="3" fontId="8" fillId="24" borderId="4" xfId="0" applyNumberFormat="1" applyFont="1" applyFill="1" applyBorder="1" applyAlignment="1" applyProtection="1"/>
    <xf numFmtId="0" fontId="5" fillId="24" borderId="4" xfId="0" applyNumberFormat="1" applyFont="1" applyFill="1" applyBorder="1" applyAlignment="1" applyProtection="1">
      <alignment horizontal="left"/>
    </xf>
    <xf numFmtId="0" fontId="5" fillId="7" borderId="62" xfId="0" applyFont="1" applyFill="1" applyBorder="1" applyAlignment="1" applyProtection="1"/>
    <xf numFmtId="3" fontId="8" fillId="4" borderId="112" xfId="0" applyNumberFormat="1" applyFont="1" applyFill="1" applyBorder="1" applyAlignment="1" applyProtection="1">
      <alignment horizontal="center"/>
      <protection locked="0"/>
    </xf>
    <xf numFmtId="3" fontId="8" fillId="4" borderId="114" xfId="0" applyNumberFormat="1" applyFont="1" applyFill="1" applyBorder="1" applyAlignment="1" applyProtection="1">
      <alignment horizontal="right" vertical="center"/>
      <protection locked="0"/>
    </xf>
    <xf numFmtId="9" fontId="1" fillId="4" borderId="87" xfId="1" applyFont="1" applyFill="1" applyBorder="1" applyAlignment="1" applyProtection="1">
      <alignment horizontal="center" vertical="center"/>
    </xf>
    <xf numFmtId="9" fontId="1" fillId="4" borderId="117" xfId="1" applyFont="1" applyFill="1" applyBorder="1" applyAlignment="1" applyProtection="1">
      <alignment horizontal="center" vertical="center"/>
    </xf>
    <xf numFmtId="0" fontId="0" fillId="2" borderId="49" xfId="0" applyFill="1" applyBorder="1" applyProtection="1"/>
    <xf numFmtId="0" fontId="0" fillId="2" borderId="31" xfId="0" applyFill="1" applyBorder="1" applyProtection="1"/>
    <xf numFmtId="0" fontId="0" fillId="2" borderId="0" xfId="0" applyFill="1" applyBorder="1" applyProtection="1"/>
    <xf numFmtId="0" fontId="0" fillId="2" borderId="56" xfId="0" applyFill="1" applyBorder="1" applyProtection="1"/>
    <xf numFmtId="0" fontId="0" fillId="2" borderId="56" xfId="0" applyFill="1" applyBorder="1" applyAlignment="1" applyProtection="1">
      <alignment horizontal="center"/>
    </xf>
    <xf numFmtId="0" fontId="0" fillId="2" borderId="64" xfId="0" applyFill="1" applyBorder="1" applyProtection="1"/>
    <xf numFmtId="0" fontId="0" fillId="2" borderId="88" xfId="0" applyFill="1" applyBorder="1" applyAlignment="1" applyProtection="1">
      <alignment horizontal="center"/>
    </xf>
    <xf numFmtId="0" fontId="0" fillId="2" borderId="115" xfId="0" applyFill="1" applyBorder="1" applyProtection="1"/>
    <xf numFmtId="0" fontId="0" fillId="2" borderId="88" xfId="0" applyFill="1" applyBorder="1" applyProtection="1"/>
    <xf numFmtId="0" fontId="0" fillId="2" borderId="0" xfId="0" applyFill="1" applyBorder="1" applyAlignment="1" applyProtection="1">
      <alignment horizontal="right"/>
    </xf>
    <xf numFmtId="3" fontId="22" fillId="2" borderId="50" xfId="0" applyNumberFormat="1" applyFont="1" applyFill="1" applyBorder="1" applyAlignment="1" applyProtection="1"/>
    <xf numFmtId="3" fontId="22" fillId="2" borderId="51" xfId="0" applyNumberFormat="1" applyFont="1" applyFill="1" applyBorder="1" applyAlignment="1" applyProtection="1">
      <alignment wrapText="1"/>
    </xf>
    <xf numFmtId="0" fontId="2" fillId="2" borderId="56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Protection="1"/>
    <xf numFmtId="0" fontId="8" fillId="2" borderId="0" xfId="0" applyFont="1" applyFill="1" applyBorder="1" applyProtection="1"/>
    <xf numFmtId="0" fontId="8" fillId="2" borderId="0" xfId="0" applyFont="1" applyFill="1" applyBorder="1" applyAlignment="1" applyProtection="1">
      <alignment horizontal="left"/>
    </xf>
    <xf numFmtId="170" fontId="11" fillId="2" borderId="0" xfId="0" applyNumberFormat="1" applyFont="1" applyFill="1" applyBorder="1" applyProtection="1"/>
    <xf numFmtId="0" fontId="11" fillId="2" borderId="0" xfId="0" applyFont="1" applyFill="1" applyBorder="1" applyProtection="1"/>
    <xf numFmtId="3" fontId="5" fillId="24" borderId="4" xfId="0" applyNumberFormat="1" applyFont="1" applyFill="1" applyBorder="1" applyAlignment="1" applyProtection="1"/>
    <xf numFmtId="3" fontId="54" fillId="4" borderId="4" xfId="0" applyNumberFormat="1" applyFont="1" applyFill="1" applyBorder="1" applyAlignment="1" applyProtection="1">
      <alignment horizontal="right"/>
      <protection locked="0"/>
    </xf>
    <xf numFmtId="3" fontId="58" fillId="2" borderId="4" xfId="0" applyNumberFormat="1" applyFont="1" applyFill="1" applyBorder="1" applyAlignment="1" applyProtection="1">
      <protection locked="0"/>
    </xf>
    <xf numFmtId="0" fontId="11" fillId="7" borderId="0" xfId="0" applyFont="1" applyFill="1" applyAlignment="1">
      <alignment horizontal="right"/>
    </xf>
    <xf numFmtId="0" fontId="0" fillId="7" borderId="0" xfId="0" applyFill="1" applyAlignment="1">
      <alignment horizontal="right"/>
    </xf>
    <xf numFmtId="165" fontId="8" fillId="4" borderId="4" xfId="1" applyNumberFormat="1" applyFont="1" applyFill="1" applyBorder="1" applyAlignment="1" applyProtection="1">
      <protection locked="0"/>
    </xf>
    <xf numFmtId="166" fontId="8" fillId="4" borderId="4" xfId="1" applyNumberFormat="1" applyFont="1" applyFill="1" applyBorder="1" applyAlignment="1" applyProtection="1">
      <protection locked="0"/>
    </xf>
    <xf numFmtId="4" fontId="8" fillId="4" borderId="4" xfId="0" applyNumberFormat="1" applyFont="1" applyFill="1" applyBorder="1" applyAlignment="1" applyProtection="1">
      <protection locked="0"/>
    </xf>
    <xf numFmtId="165" fontId="8" fillId="24" borderId="71" xfId="1" applyNumberFormat="1" applyFont="1" applyFill="1" applyBorder="1" applyAlignment="1" applyProtection="1"/>
    <xf numFmtId="165" fontId="8" fillId="24" borderId="25" xfId="1" applyNumberFormat="1" applyFont="1" applyFill="1" applyBorder="1" applyAlignment="1" applyProtection="1"/>
    <xf numFmtId="4" fontId="8" fillId="24" borderId="34" xfId="0" applyNumberFormat="1" applyFont="1" applyFill="1" applyBorder="1" applyAlignment="1" applyProtection="1"/>
    <xf numFmtId="4" fontId="8" fillId="24" borderId="26" xfId="0" applyNumberFormat="1" applyFont="1" applyFill="1" applyBorder="1" applyAlignment="1" applyProtection="1"/>
    <xf numFmtId="165" fontId="8" fillId="24" borderId="33" xfId="1" applyNumberFormat="1" applyFont="1" applyFill="1" applyBorder="1" applyAlignment="1" applyProtection="1"/>
    <xf numFmtId="165" fontId="8" fillId="24" borderId="5" xfId="1" applyNumberFormat="1" applyFont="1" applyFill="1" applyBorder="1" applyAlignment="1" applyProtection="1"/>
    <xf numFmtId="165" fontId="5" fillId="4" borderId="4" xfId="1" applyNumberFormat="1" applyFont="1" applyFill="1" applyBorder="1" applyAlignment="1" applyProtection="1">
      <protection locked="0"/>
    </xf>
    <xf numFmtId="0" fontId="83" fillId="7" borderId="0" xfId="0" applyFont="1" applyFill="1" applyAlignment="1">
      <alignment vertical="top" wrapText="1"/>
    </xf>
    <xf numFmtId="0" fontId="84" fillId="7" borderId="0" xfId="0" applyFont="1" applyFill="1" applyBorder="1" applyAlignment="1">
      <alignment vertical="top" wrapText="1"/>
    </xf>
    <xf numFmtId="0" fontId="82" fillId="7" borderId="0" xfId="0" applyFont="1" applyFill="1" applyBorder="1" applyAlignment="1">
      <alignment vertical="top" wrapText="1"/>
    </xf>
    <xf numFmtId="0" fontId="11" fillId="7" borderId="0" xfId="0" applyFont="1" applyFill="1" applyAlignment="1">
      <alignment horizontal="left" wrapText="1" indent="1"/>
    </xf>
    <xf numFmtId="0" fontId="19" fillId="7" borderId="0" xfId="0" applyFont="1" applyFill="1" applyAlignment="1">
      <alignment horizontal="left" vertical="center" wrapText="1" indent="2"/>
    </xf>
    <xf numFmtId="0" fontId="86" fillId="7" borderId="0" xfId="0" applyFont="1" applyFill="1" applyAlignment="1">
      <alignment horizontal="left" wrapText="1"/>
    </xf>
    <xf numFmtId="9" fontId="0" fillId="4" borderId="0" xfId="0" applyNumberFormat="1" applyFill="1" applyProtection="1">
      <protection locked="0"/>
    </xf>
    <xf numFmtId="179" fontId="0" fillId="24" borderId="0" xfId="0" applyNumberFormat="1" applyFill="1"/>
    <xf numFmtId="180" fontId="0" fillId="24" borderId="0" xfId="0" applyNumberFormat="1" applyFill="1"/>
    <xf numFmtId="3" fontId="0" fillId="24" borderId="0" xfId="0" applyNumberFormat="1" applyFill="1" applyAlignment="1">
      <alignment horizontal="center" wrapText="1"/>
    </xf>
    <xf numFmtId="3" fontId="22" fillId="24" borderId="0" xfId="0" applyNumberFormat="1" applyFont="1" applyFill="1"/>
    <xf numFmtId="173" fontId="0" fillId="4" borderId="4" xfId="0" applyNumberFormat="1" applyFill="1" applyBorder="1"/>
    <xf numFmtId="0" fontId="88" fillId="24" borderId="0" xfId="0" applyFont="1" applyFill="1" applyAlignment="1">
      <alignment horizontal="left" vertical="center" indent="1"/>
    </xf>
    <xf numFmtId="0" fontId="0" fillId="24" borderId="0" xfId="0" applyNumberFormat="1" applyFill="1"/>
    <xf numFmtId="0" fontId="0" fillId="24" borderId="0" xfId="0" pivotButton="1" applyFill="1"/>
    <xf numFmtId="0" fontId="2" fillId="24" borderId="0" xfId="0" applyFont="1" applyFill="1"/>
    <xf numFmtId="0" fontId="0" fillId="4" borderId="4" xfId="0" applyFill="1" applyBorder="1" applyProtection="1">
      <protection locked="0"/>
    </xf>
    <xf numFmtId="179" fontId="63" fillId="24" borderId="0" xfId="0" applyNumberFormat="1" applyFont="1" applyFill="1"/>
    <xf numFmtId="0" fontId="0" fillId="24" borderId="0" xfId="0" applyFill="1" applyAlignment="1">
      <alignment wrapText="1"/>
    </xf>
    <xf numFmtId="3" fontId="36" fillId="8" borderId="32" xfId="0" applyNumberFormat="1" applyFont="1" applyFill="1" applyBorder="1" applyAlignment="1" applyProtection="1">
      <alignment horizontal="center" vertical="center" wrapText="1"/>
    </xf>
    <xf numFmtId="3" fontId="0" fillId="24" borderId="0" xfId="0" applyNumberFormat="1" applyFill="1" applyAlignment="1" applyProtection="1">
      <alignment horizontal="center" wrapText="1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3" borderId="31" xfId="0" applyFont="1" applyFill="1" applyBorder="1" applyAlignment="1" applyProtection="1">
      <alignment horizontal="center" vertical="center" wrapText="1"/>
    </xf>
    <xf numFmtId="0" fontId="3" fillId="3" borderId="56" xfId="0" applyFont="1" applyFill="1" applyBorder="1" applyAlignment="1" applyProtection="1">
      <alignment horizontal="center" vertical="center" wrapText="1"/>
    </xf>
    <xf numFmtId="4" fontId="8" fillId="24" borderId="118" xfId="0" applyNumberFormat="1" applyFont="1" applyFill="1" applyBorder="1" applyAlignment="1" applyProtection="1"/>
    <xf numFmtId="165" fontId="8" fillId="24" borderId="85" xfId="1" applyNumberFormat="1" applyFont="1" applyFill="1" applyBorder="1" applyAlignment="1" applyProtection="1"/>
    <xf numFmtId="4" fontId="8" fillId="24" borderId="54" xfId="0" applyNumberFormat="1" applyFont="1" applyFill="1" applyBorder="1" applyAlignment="1" applyProtection="1"/>
    <xf numFmtId="165" fontId="8" fillId="24" borderId="55" xfId="1" applyNumberFormat="1" applyFont="1" applyFill="1" applyBorder="1" applyAlignment="1" applyProtection="1"/>
    <xf numFmtId="4" fontId="8" fillId="24" borderId="57" xfId="0" applyNumberFormat="1" applyFont="1" applyFill="1" applyBorder="1" applyAlignment="1" applyProtection="1"/>
    <xf numFmtId="165" fontId="8" fillId="24" borderId="59" xfId="1" applyNumberFormat="1" applyFont="1" applyFill="1" applyBorder="1" applyAlignment="1" applyProtection="1"/>
    <xf numFmtId="4" fontId="8" fillId="4" borderId="54" xfId="0" applyNumberFormat="1" applyFont="1" applyFill="1" applyBorder="1" applyAlignment="1" applyProtection="1">
      <protection locked="0"/>
    </xf>
    <xf numFmtId="4" fontId="8" fillId="4" borderId="57" xfId="0" applyNumberFormat="1" applyFont="1" applyFill="1" applyBorder="1" applyAlignment="1" applyProtection="1">
      <protection locked="0"/>
    </xf>
    <xf numFmtId="165" fontId="8" fillId="4" borderId="58" xfId="1" applyNumberFormat="1" applyFont="1" applyFill="1" applyBorder="1" applyAlignment="1" applyProtection="1">
      <protection locked="0"/>
    </xf>
    <xf numFmtId="165" fontId="8" fillId="24" borderId="119" xfId="1" applyNumberFormat="1" applyFont="1" applyFill="1" applyBorder="1" applyAlignment="1" applyProtection="1"/>
    <xf numFmtId="166" fontId="8" fillId="4" borderId="58" xfId="1" applyNumberFormat="1" applyFont="1" applyFill="1" applyBorder="1" applyAlignment="1" applyProtection="1">
      <protection locked="0"/>
    </xf>
    <xf numFmtId="4" fontId="8" fillId="24" borderId="86" xfId="0" applyNumberFormat="1" applyFont="1" applyFill="1" applyBorder="1" applyAlignment="1" applyProtection="1"/>
    <xf numFmtId="165" fontId="8" fillId="24" borderId="116" xfId="1" applyNumberFormat="1" applyFont="1" applyFill="1" applyBorder="1" applyAlignment="1" applyProtection="1"/>
    <xf numFmtId="4" fontId="8" fillId="4" borderId="58" xfId="0" applyNumberFormat="1" applyFont="1" applyFill="1" applyBorder="1" applyAlignment="1" applyProtection="1">
      <protection locked="0"/>
    </xf>
    <xf numFmtId="0" fontId="3" fillId="3" borderId="31" xfId="0" applyFont="1" applyFill="1" applyBorder="1" applyAlignment="1" applyProtection="1">
      <alignment horizontal="center" vertical="center"/>
    </xf>
    <xf numFmtId="3" fontId="8" fillId="4" borderId="54" xfId="0" applyNumberFormat="1" applyFont="1" applyFill="1" applyBorder="1" applyAlignment="1" applyProtection="1">
      <protection locked="0"/>
    </xf>
    <xf numFmtId="166" fontId="8" fillId="4" borderId="55" xfId="1" applyNumberFormat="1" applyFont="1" applyFill="1" applyBorder="1" applyAlignment="1" applyProtection="1">
      <protection locked="0"/>
    </xf>
    <xf numFmtId="3" fontId="8" fillId="4" borderId="57" xfId="0" applyNumberFormat="1" applyFont="1" applyFill="1" applyBorder="1" applyAlignment="1" applyProtection="1">
      <protection locked="0"/>
    </xf>
    <xf numFmtId="166" fontId="8" fillId="4" borderId="59" xfId="1" applyNumberFormat="1" applyFont="1" applyFill="1" applyBorder="1" applyAlignment="1" applyProtection="1">
      <protection locked="0"/>
    </xf>
    <xf numFmtId="4" fontId="8" fillId="4" borderId="32" xfId="0" applyNumberFormat="1" applyFont="1" applyFill="1" applyBorder="1" applyAlignment="1" applyProtection="1">
      <protection locked="0"/>
    </xf>
    <xf numFmtId="3" fontId="8" fillId="4" borderId="118" xfId="0" applyNumberFormat="1" applyFont="1" applyFill="1" applyBorder="1" applyAlignment="1" applyProtection="1">
      <protection locked="0"/>
    </xf>
    <xf numFmtId="165" fontId="8" fillId="4" borderId="32" xfId="1" applyNumberFormat="1" applyFont="1" applyFill="1" applyBorder="1" applyAlignment="1" applyProtection="1">
      <protection locked="0"/>
    </xf>
    <xf numFmtId="166" fontId="8" fillId="4" borderId="85" xfId="1" applyNumberFormat="1" applyFont="1" applyFill="1" applyBorder="1" applyAlignment="1" applyProtection="1">
      <protection locked="0"/>
    </xf>
    <xf numFmtId="4" fontId="8" fillId="4" borderId="118" xfId="0" applyNumberFormat="1" applyFont="1" applyFill="1" applyBorder="1" applyAlignment="1" applyProtection="1">
      <protection locked="0"/>
    </xf>
    <xf numFmtId="166" fontId="8" fillId="4" borderId="32" xfId="1" applyNumberFormat="1" applyFont="1" applyFill="1" applyBorder="1" applyAlignment="1" applyProtection="1">
      <protection locked="0"/>
    </xf>
    <xf numFmtId="0" fontId="3" fillId="3" borderId="120" xfId="0" applyFont="1" applyFill="1" applyBorder="1" applyAlignment="1" applyProtection="1">
      <alignment horizontal="center" vertical="center" wrapText="1"/>
    </xf>
    <xf numFmtId="0" fontId="3" fillId="3" borderId="121" xfId="0" applyFont="1" applyFill="1" applyBorder="1" applyAlignment="1" applyProtection="1">
      <alignment horizontal="center" vertical="center" wrapText="1"/>
    </xf>
    <xf numFmtId="0" fontId="3" fillId="3" borderId="122" xfId="0" applyFont="1" applyFill="1" applyBorder="1" applyAlignment="1" applyProtection="1">
      <alignment horizontal="center" vertical="center" wrapText="1"/>
    </xf>
    <xf numFmtId="0" fontId="31" fillId="12" borderId="123" xfId="0" applyFont="1" applyFill="1" applyBorder="1" applyAlignment="1" applyProtection="1">
      <alignment horizontal="center" vertical="center" wrapText="1"/>
    </xf>
    <xf numFmtId="0" fontId="19" fillId="0" borderId="0" xfId="0" applyFont="1"/>
    <xf numFmtId="0" fontId="90" fillId="0" borderId="0" xfId="0" applyFont="1" applyAlignment="1">
      <alignment horizontal="left"/>
    </xf>
    <xf numFmtId="0" fontId="90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justify"/>
    </xf>
    <xf numFmtId="0" fontId="8" fillId="0" borderId="0" xfId="0" applyFont="1" applyAlignment="1"/>
    <xf numFmtId="0" fontId="11" fillId="0" borderId="0" xfId="0" applyFont="1" applyAlignment="1"/>
    <xf numFmtId="0" fontId="90" fillId="0" borderId="0" xfId="0" applyFont="1" applyAlignment="1"/>
    <xf numFmtId="3" fontId="19" fillId="0" borderId="0" xfId="0" applyNumberFormat="1" applyFont="1" applyAlignment="1">
      <alignment horizontal="left"/>
    </xf>
    <xf numFmtId="0" fontId="39" fillId="2" borderId="0" xfId="0" applyFont="1" applyFill="1" applyBorder="1" applyAlignment="1" applyProtection="1">
      <alignment horizontal="left"/>
    </xf>
    <xf numFmtId="1" fontId="0" fillId="24" borderId="0" xfId="0" applyNumberFormat="1" applyFill="1"/>
    <xf numFmtId="167" fontId="0" fillId="24" borderId="0" xfId="0" applyNumberFormat="1" applyFill="1"/>
    <xf numFmtId="3" fontId="42" fillId="2" borderId="0" xfId="0" applyNumberFormat="1" applyFont="1" applyFill="1" applyBorder="1" applyAlignment="1" applyProtection="1">
      <alignment horizontal="left"/>
      <protection locked="0"/>
    </xf>
    <xf numFmtId="3" fontId="43" fillId="2" borderId="0" xfId="0" applyNumberFormat="1" applyFont="1" applyFill="1" applyBorder="1" applyAlignment="1" applyProtection="1">
      <alignment horizontal="left"/>
      <protection locked="0"/>
    </xf>
    <xf numFmtId="3" fontId="52" fillId="2" borderId="25" xfId="0" applyNumberFormat="1" applyFont="1" applyFill="1" applyBorder="1" applyAlignment="1" applyProtection="1">
      <protection locked="0"/>
    </xf>
    <xf numFmtId="3" fontId="58" fillId="2" borderId="0" xfId="0" applyNumberFormat="1" applyFont="1" applyFill="1" applyBorder="1" applyAlignment="1" applyProtection="1">
      <protection locked="0"/>
    </xf>
    <xf numFmtId="3" fontId="52" fillId="2" borderId="0" xfId="0" applyNumberFormat="1" applyFont="1" applyFill="1" applyBorder="1" applyAlignment="1" applyProtection="1">
      <protection locked="0"/>
    </xf>
    <xf numFmtId="3" fontId="43" fillId="2" borderId="62" xfId="0" applyNumberFormat="1" applyFont="1" applyFill="1" applyBorder="1" applyAlignment="1" applyProtection="1">
      <protection locked="0"/>
    </xf>
    <xf numFmtId="3" fontId="43" fillId="2" borderId="65" xfId="0" applyNumberFormat="1" applyFont="1" applyFill="1" applyBorder="1" applyAlignment="1" applyProtection="1">
      <protection locked="0"/>
    </xf>
    <xf numFmtId="3" fontId="42" fillId="2" borderId="0" xfId="0" applyNumberFormat="1" applyFont="1" applyFill="1" applyBorder="1" applyAlignment="1" applyProtection="1">
      <protection locked="0"/>
    </xf>
    <xf numFmtId="0" fontId="3" fillId="3" borderId="3" xfId="0" applyFont="1" applyFill="1" applyBorder="1" applyAlignment="1" applyProtection="1">
      <alignment horizontal="center" wrapText="1"/>
    </xf>
    <xf numFmtId="9" fontId="54" fillId="4" borderId="4" xfId="1" applyFont="1" applyFill="1" applyBorder="1" applyAlignment="1" applyProtection="1">
      <protection locked="0"/>
    </xf>
    <xf numFmtId="14" fontId="54" fillId="9" borderId="0" xfId="0" applyNumberFormat="1" applyFont="1" applyFill="1" applyAlignment="1">
      <alignment horizontal="left" vertical="center"/>
    </xf>
    <xf numFmtId="0" fontId="80" fillId="0" borderId="0" xfId="0" applyFont="1"/>
    <xf numFmtId="0" fontId="80" fillId="0" borderId="0" xfId="0" applyFont="1" applyBorder="1"/>
    <xf numFmtId="14" fontId="0" fillId="4" borderId="64" xfId="0" applyNumberFormat="1" applyFill="1" applyBorder="1" applyProtection="1">
      <protection locked="0"/>
    </xf>
    <xf numFmtId="0" fontId="0" fillId="16" borderId="0" xfId="0" applyFont="1" applyFill="1" applyAlignment="1">
      <alignment vertical="center"/>
    </xf>
    <xf numFmtId="0" fontId="0" fillId="9" borderId="0" xfId="0" applyFont="1" applyFill="1" applyAlignment="1">
      <alignment vertical="center"/>
    </xf>
    <xf numFmtId="0" fontId="0" fillId="9" borderId="0" xfId="0" applyFont="1" applyFill="1" applyAlignment="1">
      <alignment horizontal="center" vertical="center"/>
    </xf>
    <xf numFmtId="0" fontId="0" fillId="9" borderId="0" xfId="0" applyFill="1" applyAlignment="1">
      <alignment horizontal="center"/>
    </xf>
    <xf numFmtId="0" fontId="0" fillId="9" borderId="0" xfId="0" applyFill="1" applyAlignment="1">
      <alignment horizontal="right" wrapText="1"/>
    </xf>
    <xf numFmtId="0" fontId="0" fillId="9" borderId="0" xfId="0" applyFill="1" applyAlignment="1">
      <alignment horizontal="right"/>
    </xf>
    <xf numFmtId="0" fontId="88" fillId="0" borderId="0" xfId="0" applyFont="1" applyFill="1" applyAlignment="1">
      <alignment horizontal="left" vertical="center" indent="1"/>
    </xf>
    <xf numFmtId="0" fontId="80" fillId="0" borderId="0" xfId="0" applyFont="1" applyBorder="1" applyAlignment="1">
      <alignment vertical="center" wrapText="1"/>
    </xf>
    <xf numFmtId="0" fontId="94" fillId="29" borderId="27" xfId="0" applyFont="1" applyFill="1" applyBorder="1" applyAlignment="1">
      <alignment vertical="center" wrapText="1"/>
    </xf>
    <xf numFmtId="0" fontId="95" fillId="29" borderId="27" xfId="0" applyFont="1" applyFill="1" applyBorder="1" applyAlignment="1">
      <alignment vertical="center" wrapText="1"/>
    </xf>
    <xf numFmtId="0" fontId="96" fillId="0" borderId="106" xfId="0" applyFont="1" applyBorder="1" applyAlignment="1">
      <alignment horizontal="justify" vertical="center" wrapText="1"/>
    </xf>
    <xf numFmtId="0" fontId="98" fillId="0" borderId="105" xfId="0" applyFont="1" applyBorder="1" applyAlignment="1">
      <alignment horizontal="justify" vertical="center" wrapText="1"/>
    </xf>
    <xf numFmtId="0" fontId="98" fillId="0" borderId="106" xfId="0" applyFont="1" applyBorder="1" applyAlignment="1">
      <alignment horizontal="justify" vertical="center" wrapText="1"/>
    </xf>
    <xf numFmtId="0" fontId="0" fillId="0" borderId="106" xfId="0" applyFont="1" applyBorder="1"/>
    <xf numFmtId="0" fontId="98" fillId="0" borderId="56" xfId="0" applyFont="1" applyBorder="1" applyAlignment="1">
      <alignment horizontal="justify" vertical="center" wrapText="1"/>
    </xf>
    <xf numFmtId="0" fontId="96" fillId="0" borderId="105" xfId="0" applyFont="1" applyBorder="1" applyAlignment="1">
      <alignment horizontal="justify" vertical="center" wrapText="1"/>
    </xf>
    <xf numFmtId="0" fontId="98" fillId="0" borderId="51" xfId="0" applyFont="1" applyBorder="1" applyAlignment="1">
      <alignment horizontal="justify" vertical="center" wrapText="1"/>
    </xf>
    <xf numFmtId="0" fontId="96" fillId="0" borderId="107" xfId="0" applyFont="1" applyBorder="1" applyAlignment="1">
      <alignment horizontal="justify" vertical="center" wrapText="1"/>
    </xf>
    <xf numFmtId="0" fontId="98" fillId="0" borderId="88" xfId="0" applyFont="1" applyBorder="1" applyAlignment="1">
      <alignment horizontal="justify" vertical="center" wrapText="1"/>
    </xf>
    <xf numFmtId="0" fontId="80" fillId="0" borderId="49" xfId="0" applyFont="1" applyBorder="1" applyAlignment="1">
      <alignment vertical="center" wrapText="1"/>
    </xf>
    <xf numFmtId="0" fontId="0" fillId="0" borderId="56" xfId="0" applyFont="1" applyBorder="1" applyAlignment="1">
      <alignment vertical="top" wrapText="1"/>
    </xf>
    <xf numFmtId="0" fontId="98" fillId="0" borderId="107" xfId="0" applyFont="1" applyBorder="1" applyAlignment="1">
      <alignment horizontal="justify" vertical="center" wrapText="1"/>
    </xf>
    <xf numFmtId="0" fontId="96" fillId="0" borderId="105" xfId="0" applyFont="1" applyBorder="1" applyAlignment="1">
      <alignment vertical="center" wrapText="1"/>
    </xf>
    <xf numFmtId="0" fontId="98" fillId="0" borderId="105" xfId="0" applyFont="1" applyBorder="1" applyAlignment="1">
      <alignment vertical="center" wrapText="1"/>
    </xf>
    <xf numFmtId="0" fontId="0" fillId="0" borderId="0" xfId="0" applyFont="1"/>
    <xf numFmtId="0" fontId="100" fillId="9" borderId="0" xfId="0" applyFont="1" applyFill="1"/>
    <xf numFmtId="0" fontId="0" fillId="9" borderId="124" xfId="0" applyFill="1" applyBorder="1"/>
    <xf numFmtId="0" fontId="0" fillId="9" borderId="126" xfId="0" applyFill="1" applyBorder="1"/>
    <xf numFmtId="0" fontId="101" fillId="9" borderId="0" xfId="0" applyFont="1" applyFill="1" applyAlignment="1">
      <alignment vertical="top"/>
    </xf>
    <xf numFmtId="0" fontId="0" fillId="9" borderId="126" xfId="0" applyFill="1" applyBorder="1" applyAlignment="1">
      <alignment horizontal="left" vertical="top" wrapText="1"/>
    </xf>
    <xf numFmtId="0" fontId="102" fillId="9" borderId="0" xfId="0" applyFont="1" applyFill="1"/>
    <xf numFmtId="0" fontId="0" fillId="9" borderId="0" xfId="0" applyFill="1" applyAlignment="1">
      <alignment vertical="center" wrapText="1"/>
    </xf>
    <xf numFmtId="0" fontId="0" fillId="9" borderId="126" xfId="0" applyFill="1" applyBorder="1" applyAlignment="1">
      <alignment horizontal="right"/>
    </xf>
    <xf numFmtId="0" fontId="0" fillId="9" borderId="126" xfId="0" applyFill="1" applyBorder="1" applyAlignment="1">
      <alignment horizontal="center" vertical="top"/>
    </xf>
    <xf numFmtId="0" fontId="0" fillId="9" borderId="0" xfId="0" applyFill="1" applyAlignment="1">
      <alignment vertical="top" wrapText="1"/>
    </xf>
    <xf numFmtId="0" fontId="103" fillId="9" borderId="0" xfId="0" applyFont="1" applyFill="1" applyAlignment="1">
      <alignment horizontal="center" vertical="center" wrapText="1"/>
    </xf>
    <xf numFmtId="0" fontId="0" fillId="9" borderId="92" xfId="0" applyFill="1" applyBorder="1"/>
    <xf numFmtId="0" fontId="0" fillId="9" borderId="0" xfId="0" applyFill="1" applyAlignment="1">
      <alignment horizontal="left" wrapText="1" indent="1"/>
    </xf>
    <xf numFmtId="0" fontId="104" fillId="9" borderId="0" xfId="0" applyFont="1" applyFill="1" applyAlignment="1">
      <alignment horizontal="right" vertical="top"/>
    </xf>
    <xf numFmtId="0" fontId="0" fillId="9" borderId="0" xfId="0" applyFill="1" applyBorder="1" applyAlignment="1">
      <alignment vertical="center"/>
    </xf>
    <xf numFmtId="0" fontId="101" fillId="9" borderId="0" xfId="0" applyFont="1" applyFill="1" applyAlignment="1">
      <alignment wrapText="1"/>
    </xf>
    <xf numFmtId="3" fontId="105" fillId="30" borderId="0" xfId="0" applyNumberFormat="1" applyFont="1" applyFill="1" applyAlignment="1">
      <alignment horizontal="left" vertical="center"/>
    </xf>
    <xf numFmtId="0" fontId="0" fillId="30" borderId="0" xfId="0" applyFill="1" applyAlignment="1">
      <alignment vertical="center"/>
    </xf>
    <xf numFmtId="0" fontId="0" fillId="9" borderId="0" xfId="0" applyFill="1" applyAlignment="1">
      <alignment vertical="top"/>
    </xf>
    <xf numFmtId="177" fontId="8" fillId="9" borderId="0" xfId="0" applyNumberFormat="1" applyFont="1" applyFill="1" applyAlignment="1">
      <alignment vertical="top"/>
    </xf>
    <xf numFmtId="0" fontId="105" fillId="32" borderId="0" xfId="0" applyFont="1" applyFill="1" applyAlignment="1">
      <alignment horizontal="left"/>
    </xf>
    <xf numFmtId="0" fontId="0" fillId="32" borderId="0" xfId="0" applyFill="1" applyAlignment="1">
      <alignment vertical="center" wrapText="1"/>
    </xf>
    <xf numFmtId="0" fontId="106" fillId="9" borderId="0" xfId="0" applyFont="1" applyFill="1"/>
    <xf numFmtId="0" fontId="8" fillId="9" borderId="0" xfId="0" quotePrefix="1" applyFont="1" applyFill="1" applyAlignment="1">
      <alignment vertical="top"/>
    </xf>
    <xf numFmtId="0" fontId="107" fillId="9" borderId="0" xfId="0" applyFont="1" applyFill="1" applyAlignment="1">
      <alignment vertical="top"/>
    </xf>
    <xf numFmtId="42" fontId="7" fillId="9" borderId="0" xfId="0" applyNumberFormat="1" applyFont="1" applyFill="1"/>
    <xf numFmtId="0" fontId="108" fillId="9" borderId="0" xfId="0" quotePrefix="1" applyFont="1" applyFill="1"/>
    <xf numFmtId="0" fontId="29" fillId="9" borderId="0" xfId="0" applyFont="1" applyFill="1"/>
    <xf numFmtId="0" fontId="0" fillId="9" borderId="0" xfId="0" applyFill="1" applyAlignment="1">
      <alignment wrapText="1"/>
    </xf>
    <xf numFmtId="0" fontId="63" fillId="9" borderId="0" xfId="0" applyFont="1" applyFill="1" applyAlignment="1">
      <alignment vertical="top" wrapText="1"/>
    </xf>
    <xf numFmtId="0" fontId="5" fillId="9" borderId="0" xfId="0" applyFont="1" applyFill="1" applyAlignment="1">
      <alignment vertical="top"/>
    </xf>
    <xf numFmtId="177" fontId="0" fillId="9" borderId="0" xfId="0" applyNumberFormat="1" applyFill="1"/>
    <xf numFmtId="0" fontId="109" fillId="0" borderId="0" xfId="0" applyFont="1"/>
    <xf numFmtId="3" fontId="0" fillId="9" borderId="0" xfId="0" applyNumberFormat="1" applyFill="1" applyAlignment="1">
      <alignment horizontal="center"/>
    </xf>
    <xf numFmtId="0" fontId="39" fillId="0" borderId="0" xfId="0" applyFont="1"/>
    <xf numFmtId="182" fontId="30" fillId="16" borderId="129" xfId="0" applyNumberFormat="1" applyFont="1" applyFill="1" applyBorder="1" applyProtection="1"/>
    <xf numFmtId="0" fontId="3" fillId="33" borderId="2" xfId="0" applyFont="1" applyFill="1" applyBorder="1" applyAlignment="1" applyProtection="1">
      <alignment horizontal="center"/>
    </xf>
    <xf numFmtId="177" fontId="5" fillId="19" borderId="129" xfId="0" applyNumberFormat="1" applyFont="1" applyFill="1" applyBorder="1" applyAlignment="1" applyProtection="1">
      <alignment horizontal="right"/>
      <protection locked="0"/>
    </xf>
    <xf numFmtId="181" fontId="2" fillId="34" borderId="130" xfId="0" applyNumberFormat="1" applyFont="1" applyFill="1" applyBorder="1"/>
    <xf numFmtId="0" fontId="0" fillId="34" borderId="129" xfId="0" applyFill="1" applyBorder="1"/>
    <xf numFmtId="0" fontId="0" fillId="34" borderId="130" xfId="0" applyFill="1" applyBorder="1"/>
    <xf numFmtId="3" fontId="5" fillId="19" borderId="129" xfId="0" applyNumberFormat="1" applyFont="1" applyFill="1" applyBorder="1" applyAlignment="1" applyProtection="1">
      <alignment horizontal="right"/>
      <protection locked="0"/>
    </xf>
    <xf numFmtId="0" fontId="0" fillId="16" borderId="129" xfId="0" applyFill="1" applyBorder="1"/>
    <xf numFmtId="3" fontId="0" fillId="16" borderId="129" xfId="0" applyNumberFormat="1" applyFill="1" applyBorder="1" applyAlignment="1">
      <alignment horizontal="center"/>
    </xf>
    <xf numFmtId="3" fontId="0" fillId="19" borderId="129" xfId="0" applyNumberFormat="1" applyFill="1" applyBorder="1" applyAlignment="1">
      <alignment horizontal="center"/>
    </xf>
    <xf numFmtId="0" fontId="0" fillId="16" borderId="129" xfId="0" applyFill="1" applyBorder="1" applyAlignment="1">
      <alignment horizontal="center"/>
    </xf>
    <xf numFmtId="10" fontId="0" fillId="16" borderId="129" xfId="0" applyNumberFormat="1" applyFill="1" applyBorder="1" applyAlignment="1">
      <alignment horizontal="center"/>
    </xf>
    <xf numFmtId="0" fontId="0" fillId="19" borderId="129" xfId="0" applyFill="1" applyBorder="1" applyAlignment="1">
      <alignment horizontal="center"/>
    </xf>
    <xf numFmtId="165" fontId="0" fillId="16" borderId="129" xfId="0" applyNumberFormat="1" applyFill="1" applyBorder="1" applyAlignment="1">
      <alignment horizontal="center"/>
    </xf>
    <xf numFmtId="0" fontId="0" fillId="16" borderId="128" xfId="0" applyFill="1" applyBorder="1"/>
    <xf numFmtId="3" fontId="0" fillId="16" borderId="128" xfId="0" applyNumberFormat="1" applyFill="1" applyBorder="1" applyAlignment="1">
      <alignment horizontal="center"/>
    </xf>
    <xf numFmtId="0" fontId="0" fillId="16" borderId="128" xfId="0" applyFill="1" applyBorder="1" applyAlignment="1">
      <alignment horizontal="center"/>
    </xf>
    <xf numFmtId="3" fontId="0" fillId="19" borderId="128" xfId="0" applyNumberFormat="1" applyFill="1" applyBorder="1" applyAlignment="1">
      <alignment horizontal="center"/>
    </xf>
    <xf numFmtId="10" fontId="0" fillId="16" borderId="128" xfId="0" applyNumberFormat="1" applyFill="1" applyBorder="1" applyAlignment="1">
      <alignment horizontal="center"/>
    </xf>
    <xf numFmtId="0" fontId="0" fillId="19" borderId="128" xfId="0" applyFill="1" applyBorder="1" applyAlignment="1">
      <alignment horizontal="center"/>
    </xf>
    <xf numFmtId="0" fontId="110" fillId="9" borderId="129" xfId="0" applyFont="1" applyFill="1" applyBorder="1"/>
    <xf numFmtId="0" fontId="110" fillId="16" borderId="129" xfId="0" applyFont="1" applyFill="1" applyBorder="1"/>
    <xf numFmtId="2" fontId="110" fillId="16" borderId="129" xfId="0" applyNumberFormat="1" applyFont="1" applyFill="1" applyBorder="1"/>
    <xf numFmtId="10" fontId="110" fillId="16" borderId="129" xfId="1" applyNumberFormat="1" applyFont="1" applyFill="1" applyBorder="1"/>
    <xf numFmtId="3" fontId="0" fillId="9" borderId="0" xfId="0" applyNumberFormat="1" applyFill="1"/>
    <xf numFmtId="0" fontId="111" fillId="9" borderId="0" xfId="0" applyFont="1" applyFill="1" applyAlignment="1">
      <alignment horizontal="center"/>
    </xf>
    <xf numFmtId="0" fontId="20" fillId="33" borderId="2" xfId="0" applyFont="1" applyFill="1" applyBorder="1" applyAlignment="1" applyProtection="1">
      <alignment horizontal="center"/>
    </xf>
    <xf numFmtId="0" fontId="112" fillId="0" borderId="0" xfId="0" applyFont="1"/>
    <xf numFmtId="0" fontId="0" fillId="9" borderId="0" xfId="0" applyFill="1" applyAlignment="1">
      <alignment horizontal="center" wrapText="1"/>
    </xf>
    <xf numFmtId="0" fontId="0" fillId="35" borderId="0" xfId="0" applyFill="1"/>
    <xf numFmtId="3" fontId="65" fillId="35" borderId="0" xfId="0" applyNumberFormat="1" applyFont="1" applyFill="1" applyAlignment="1">
      <alignment horizontal="center" vertical="center"/>
    </xf>
    <xf numFmtId="14" fontId="0" fillId="35" borderId="0" xfId="0" applyNumberFormat="1" applyFill="1" applyAlignment="1">
      <alignment horizontal="center"/>
    </xf>
    <xf numFmtId="0" fontId="0" fillId="35" borderId="0" xfId="0" applyFill="1" applyBorder="1"/>
    <xf numFmtId="0" fontId="66" fillId="35" borderId="0" xfId="0" applyFont="1" applyFill="1" applyBorder="1" applyAlignment="1">
      <alignment horizontal="justify" vertical="center"/>
    </xf>
    <xf numFmtId="0" fontId="67" fillId="35" borderId="0" xfId="0" applyFont="1" applyFill="1" applyBorder="1" applyAlignment="1">
      <alignment horizontal="justify" vertical="center"/>
    </xf>
    <xf numFmtId="0" fontId="64" fillId="35" borderId="0" xfId="0" applyFont="1" applyFill="1"/>
    <xf numFmtId="0" fontId="68" fillId="35" borderId="27" xfId="0" applyFont="1" applyFill="1" applyBorder="1" applyAlignment="1">
      <alignment horizontal="center" vertical="center"/>
    </xf>
    <xf numFmtId="0" fontId="68" fillId="35" borderId="30" xfId="0" applyFont="1" applyFill="1" applyBorder="1" applyAlignment="1">
      <alignment horizontal="center" vertical="center"/>
    </xf>
    <xf numFmtId="0" fontId="68" fillId="35" borderId="107" xfId="0" applyFont="1" applyFill="1" applyBorder="1" applyAlignment="1">
      <alignment horizontal="right" vertical="center"/>
    </xf>
    <xf numFmtId="0" fontId="68" fillId="35" borderId="88" xfId="0" applyFont="1" applyFill="1" applyBorder="1" applyAlignment="1">
      <alignment horizontal="right" vertical="center"/>
    </xf>
    <xf numFmtId="0" fontId="2" fillId="35" borderId="0" xfId="0" applyFont="1" applyFill="1"/>
    <xf numFmtId="0" fontId="68" fillId="35" borderId="27" xfId="0" applyFont="1" applyFill="1" applyBorder="1" applyAlignment="1">
      <alignment horizontal="right" vertical="center"/>
    </xf>
    <xf numFmtId="0" fontId="68" fillId="35" borderId="30" xfId="0" applyFont="1" applyFill="1" applyBorder="1" applyAlignment="1">
      <alignment horizontal="right" vertical="center"/>
    </xf>
    <xf numFmtId="0" fontId="66" fillId="35" borderId="0" xfId="0" applyFont="1" applyFill="1" applyBorder="1" applyAlignment="1">
      <alignment horizontal="left" vertical="center"/>
    </xf>
    <xf numFmtId="0" fontId="0" fillId="35" borderId="27" xfId="0" applyFill="1" applyBorder="1"/>
    <xf numFmtId="0" fontId="0" fillId="35" borderId="107" xfId="0" applyFill="1" applyBorder="1"/>
    <xf numFmtId="183" fontId="7" fillId="9" borderId="0" xfId="2" applyNumberFormat="1" applyFont="1" applyFill="1" applyAlignment="1">
      <alignment horizontal="center"/>
    </xf>
    <xf numFmtId="0" fontId="5" fillId="9" borderId="0" xfId="0" applyFont="1" applyFill="1" applyAlignment="1">
      <alignment horizontal="center"/>
    </xf>
    <xf numFmtId="0" fontId="2" fillId="9" borderId="0" xfId="0" applyFont="1" applyFill="1"/>
    <xf numFmtId="0" fontId="2" fillId="9" borderId="0" xfId="0" applyFont="1" applyFill="1" applyAlignment="1">
      <alignment horizontal="center"/>
    </xf>
    <xf numFmtId="3" fontId="8" fillId="19" borderId="129" xfId="0" applyNumberFormat="1" applyFont="1" applyFill="1" applyBorder="1" applyAlignment="1" applyProtection="1"/>
    <xf numFmtId="9" fontId="8" fillId="19" borderId="129" xfId="1" applyFont="1" applyFill="1" applyBorder="1" applyAlignment="1" applyProtection="1"/>
    <xf numFmtId="3" fontId="5" fillId="19" borderId="129" xfId="0" applyNumberFormat="1" applyFont="1" applyFill="1" applyBorder="1" applyAlignment="1" applyProtection="1"/>
    <xf numFmtId="183" fontId="2" fillId="9" borderId="0" xfId="2" applyNumberFormat="1" applyFont="1" applyFill="1"/>
    <xf numFmtId="0" fontId="19" fillId="9" borderId="0" xfId="0" applyFont="1" applyFill="1"/>
    <xf numFmtId="183" fontId="7" fillId="9" borderId="0" xfId="0" applyNumberFormat="1" applyFont="1" applyFill="1"/>
    <xf numFmtId="9" fontId="35" fillId="4" borderId="4" xfId="0" applyNumberFormat="1" applyFont="1" applyFill="1" applyBorder="1" applyProtection="1">
      <protection locked="0"/>
    </xf>
    <xf numFmtId="184" fontId="3" fillId="8" borderId="32" xfId="0" applyNumberFormat="1" applyFont="1" applyFill="1" applyBorder="1" applyAlignment="1" applyProtection="1">
      <alignment horizontal="center" vertical="center" textRotation="90"/>
    </xf>
    <xf numFmtId="184" fontId="3" fillId="36" borderId="32" xfId="0" applyNumberFormat="1" applyFont="1" applyFill="1" applyBorder="1" applyAlignment="1" applyProtection="1">
      <alignment horizontal="center" vertical="center" textRotation="90"/>
    </xf>
    <xf numFmtId="184" fontId="9" fillId="8" borderId="32" xfId="0" applyNumberFormat="1" applyFont="1" applyFill="1" applyBorder="1" applyAlignment="1" applyProtection="1">
      <alignment horizontal="center" vertical="center" textRotation="90"/>
    </xf>
    <xf numFmtId="184" fontId="9" fillId="36" borderId="32" xfId="0" applyNumberFormat="1" applyFont="1" applyFill="1" applyBorder="1" applyAlignment="1" applyProtection="1">
      <alignment horizontal="center" vertical="center" textRotation="90"/>
    </xf>
    <xf numFmtId="0" fontId="19" fillId="7" borderId="0" xfId="0" applyFont="1" applyFill="1" applyAlignment="1">
      <alignment horizontal="center"/>
    </xf>
    <xf numFmtId="0" fontId="21" fillId="37" borderId="0" xfId="0" applyFont="1" applyFill="1" applyBorder="1" applyAlignment="1" applyProtection="1">
      <alignment vertical="center" wrapText="1"/>
    </xf>
    <xf numFmtId="0" fontId="11" fillId="9" borderId="0" xfId="0" applyFont="1" applyFill="1" applyBorder="1"/>
    <xf numFmtId="3" fontId="11" fillId="9" borderId="0" xfId="0" applyNumberFormat="1" applyFont="1" applyFill="1"/>
    <xf numFmtId="165" fontId="11" fillId="9" borderId="0" xfId="1" applyNumberFormat="1" applyFont="1" applyFill="1"/>
    <xf numFmtId="3" fontId="8" fillId="9" borderId="0" xfId="0" applyNumberFormat="1" applyFont="1" applyFill="1"/>
    <xf numFmtId="165" fontId="8" fillId="9" borderId="0" xfId="1" applyNumberFormat="1" applyFont="1" applyFill="1"/>
    <xf numFmtId="0" fontId="8" fillId="9" borderId="0" xfId="0" applyFont="1" applyFill="1" applyBorder="1"/>
    <xf numFmtId="184" fontId="3" fillId="8" borderId="32" xfId="0" applyNumberFormat="1" applyFont="1" applyFill="1" applyBorder="1" applyAlignment="1" applyProtection="1">
      <alignment horizontal="center" vertical="center"/>
    </xf>
    <xf numFmtId="3" fontId="11" fillId="16" borderId="0" xfId="0" applyNumberFormat="1" applyFont="1" applyFill="1"/>
    <xf numFmtId="3" fontId="8" fillId="16" borderId="0" xfId="0" applyNumberFormat="1" applyFont="1" applyFill="1"/>
    <xf numFmtId="165" fontId="11" fillId="16" borderId="0" xfId="1" applyNumberFormat="1" applyFont="1" applyFill="1"/>
    <xf numFmtId="165" fontId="8" fillId="16" borderId="0" xfId="1" applyNumberFormat="1" applyFont="1" applyFill="1"/>
    <xf numFmtId="0" fontId="31" fillId="12" borderId="123" xfId="0" applyFont="1" applyFill="1" applyBorder="1" applyAlignment="1" applyProtection="1">
      <alignment horizontal="center" vertical="center" wrapText="1"/>
      <protection locked="0"/>
    </xf>
    <xf numFmtId="0" fontId="4" fillId="5" borderId="0" xfId="0" applyFont="1" applyFill="1" applyBorder="1" applyAlignment="1">
      <alignment vertical="top"/>
    </xf>
    <xf numFmtId="0" fontId="21" fillId="16" borderId="0" xfId="0" applyFont="1" applyFill="1" applyBorder="1" applyAlignment="1" applyProtection="1">
      <alignment horizontal="left" wrapText="1"/>
    </xf>
    <xf numFmtId="0" fontId="11" fillId="6" borderId="0" xfId="0" applyFont="1" applyFill="1" applyBorder="1" applyAlignment="1" applyProtection="1">
      <alignment horizontal="center" vertical="center"/>
    </xf>
    <xf numFmtId="0" fontId="11" fillId="10" borderId="0" xfId="0" applyFont="1" applyFill="1" applyBorder="1" applyAlignment="1" applyProtection="1">
      <alignment horizontal="center"/>
    </xf>
    <xf numFmtId="0" fontId="21" fillId="16" borderId="2" xfId="0" applyFont="1" applyFill="1" applyBorder="1" applyProtection="1"/>
    <xf numFmtId="0" fontId="35" fillId="16" borderId="0" xfId="0" applyFont="1" applyFill="1" applyBorder="1" applyProtection="1"/>
    <xf numFmtId="0" fontId="9" fillId="3" borderId="0" xfId="0" applyFont="1" applyFill="1" applyBorder="1" applyAlignment="1" applyProtection="1">
      <alignment horizontal="left" vertical="center"/>
    </xf>
    <xf numFmtId="0" fontId="115" fillId="16" borderId="2" xfId="0" applyFont="1" applyFill="1" applyBorder="1" applyAlignment="1" applyProtection="1">
      <alignment horizontal="center" wrapText="1"/>
    </xf>
    <xf numFmtId="183" fontId="63" fillId="4" borderId="4" xfId="2" applyNumberFormat="1" applyFont="1" applyFill="1" applyBorder="1" applyAlignment="1" applyProtection="1">
      <protection locked="0"/>
    </xf>
    <xf numFmtId="176" fontId="35" fillId="16" borderId="2" xfId="0" applyNumberFormat="1" applyFont="1" applyFill="1" applyBorder="1" applyProtection="1"/>
    <xf numFmtId="0" fontId="92" fillId="16" borderId="2" xfId="0" applyFont="1" applyFill="1" applyBorder="1" applyProtection="1"/>
    <xf numFmtId="176" fontId="8" fillId="4" borderId="4" xfId="0" applyNumberFormat="1" applyFont="1" applyFill="1" applyBorder="1" applyAlignment="1" applyProtection="1">
      <protection locked="0"/>
    </xf>
    <xf numFmtId="3" fontId="35" fillId="16" borderId="61" xfId="0" applyNumberFormat="1" applyFont="1" applyFill="1" applyBorder="1" applyProtection="1"/>
    <xf numFmtId="165" fontId="35" fillId="16" borderId="61" xfId="1" applyNumberFormat="1" applyFont="1" applyFill="1" applyBorder="1" applyProtection="1"/>
    <xf numFmtId="165" fontId="21" fillId="16" borderId="61" xfId="1" applyNumberFormat="1" applyFont="1" applyFill="1" applyBorder="1" applyAlignment="1" applyProtection="1">
      <alignment horizontal="center"/>
    </xf>
    <xf numFmtId="183" fontId="21" fillId="16" borderId="0" xfId="0" applyNumberFormat="1" applyFont="1" applyFill="1" applyBorder="1" applyAlignment="1" applyProtection="1">
      <alignment horizontal="left" wrapText="1"/>
    </xf>
    <xf numFmtId="183" fontId="8" fillId="4" borderId="4" xfId="2" applyNumberFormat="1" applyFont="1" applyFill="1" applyBorder="1" applyAlignment="1" applyProtection="1">
      <protection locked="0"/>
    </xf>
    <xf numFmtId="0" fontId="21" fillId="16" borderId="0" xfId="0" applyFont="1" applyFill="1" applyBorder="1" applyAlignment="1" applyProtection="1">
      <alignment vertical="center" wrapText="1"/>
    </xf>
    <xf numFmtId="0" fontId="31" fillId="16" borderId="0" xfId="0" applyFont="1" applyFill="1" applyBorder="1" applyAlignment="1" applyProtection="1">
      <alignment vertical="center" wrapText="1"/>
    </xf>
    <xf numFmtId="3" fontId="7" fillId="9" borderId="0" xfId="0" applyNumberFormat="1" applyFont="1" applyFill="1"/>
    <xf numFmtId="14" fontId="7" fillId="4" borderId="64" xfId="0" applyNumberFormat="1" applyFont="1" applyFill="1" applyBorder="1" applyProtection="1">
      <protection locked="0"/>
    </xf>
    <xf numFmtId="0" fontId="3" fillId="3" borderId="122" xfId="0" applyFont="1" applyFill="1" applyBorder="1" applyAlignment="1" applyProtection="1">
      <alignment horizontal="center" vertical="center"/>
    </xf>
    <xf numFmtId="0" fontId="8" fillId="9" borderId="0" xfId="0" applyFont="1" applyFill="1" applyBorder="1" applyAlignment="1">
      <alignment horizontal="right"/>
    </xf>
    <xf numFmtId="0" fontId="117" fillId="9" borderId="0" xfId="0" applyFont="1" applyFill="1" applyAlignment="1">
      <alignment horizontal="right"/>
    </xf>
    <xf numFmtId="3" fontId="11" fillId="39" borderId="0" xfId="0" applyNumberFormat="1" applyFont="1" applyFill="1" applyProtection="1">
      <protection locked="0"/>
    </xf>
    <xf numFmtId="3" fontId="8" fillId="39" borderId="0" xfId="0" applyNumberFormat="1" applyFont="1" applyFill="1" applyProtection="1">
      <protection locked="0"/>
    </xf>
    <xf numFmtId="0" fontId="117" fillId="9" borderId="0" xfId="0" applyFont="1" applyFill="1"/>
    <xf numFmtId="167" fontId="3" fillId="38" borderId="33" xfId="0" applyNumberFormat="1" applyFont="1" applyFill="1" applyBorder="1" applyAlignment="1" applyProtection="1">
      <alignment horizontal="center" vertical="center" wrapText="1"/>
      <protection locked="0"/>
    </xf>
    <xf numFmtId="172" fontId="39" fillId="2" borderId="0" xfId="0" applyNumberFormat="1" applyFont="1" applyFill="1" applyBorder="1" applyAlignment="1" applyProtection="1">
      <alignment vertical="center"/>
    </xf>
    <xf numFmtId="172" fontId="39" fillId="2" borderId="0" xfId="0" applyNumberFormat="1" applyFont="1" applyFill="1" applyBorder="1" applyAlignment="1" applyProtection="1">
      <alignment horizontal="left"/>
    </xf>
    <xf numFmtId="172" fontId="39" fillId="2" borderId="0" xfId="0" applyNumberFormat="1" applyFont="1" applyFill="1" applyBorder="1" applyAlignment="1" applyProtection="1">
      <alignment horizontal="center" vertical="center" wrapText="1"/>
    </xf>
    <xf numFmtId="14" fontId="39" fillId="2" borderId="0" xfId="0" applyNumberFormat="1" applyFont="1" applyFill="1" applyBorder="1" applyAlignment="1" applyProtection="1">
      <alignment horizontal="center" vertical="center" wrapText="1"/>
    </xf>
    <xf numFmtId="172" fontId="39" fillId="2" borderId="0" xfId="0" applyNumberFormat="1" applyFont="1" applyFill="1" applyBorder="1" applyAlignment="1" applyProtection="1">
      <alignment horizontal="left" vertical="center" wrapText="1"/>
    </xf>
    <xf numFmtId="9" fontId="39" fillId="2" borderId="0" xfId="1" applyFont="1" applyFill="1" applyBorder="1" applyAlignment="1" applyProtection="1">
      <alignment horizontal="center" vertical="center" wrapText="1"/>
    </xf>
    <xf numFmtId="0" fontId="7" fillId="16" borderId="0" xfId="0" applyFont="1" applyFill="1" applyBorder="1"/>
    <xf numFmtId="0" fontId="39" fillId="2" borderId="0" xfId="0" applyFont="1" applyFill="1" applyBorder="1" applyAlignment="1" applyProtection="1">
      <alignment vertical="center" wrapText="1"/>
    </xf>
    <xf numFmtId="0" fontId="39" fillId="2" borderId="73" xfId="0" applyFont="1" applyFill="1" applyBorder="1" applyAlignment="1" applyProtection="1">
      <alignment vertical="top" wrapText="1"/>
    </xf>
    <xf numFmtId="0" fontId="30" fillId="16" borderId="0" xfId="0" applyFont="1" applyFill="1"/>
    <xf numFmtId="0" fontId="22" fillId="37" borderId="0" xfId="0" applyFont="1" applyFill="1" applyBorder="1" applyAlignment="1" applyProtection="1">
      <alignment vertical="center" wrapText="1"/>
    </xf>
    <xf numFmtId="0" fontId="30" fillId="16" borderId="0" xfId="0" applyFont="1" applyFill="1" applyBorder="1"/>
    <xf numFmtId="0" fontId="22" fillId="16" borderId="0" xfId="0" applyFont="1" applyFill="1" applyBorder="1" applyAlignment="1" applyProtection="1">
      <alignment horizontal="center" wrapText="1"/>
    </xf>
    <xf numFmtId="0" fontId="39" fillId="2" borderId="0" xfId="0" applyFont="1" applyFill="1"/>
    <xf numFmtId="9" fontId="39" fillId="16" borderId="0" xfId="1" applyFont="1" applyFill="1" applyBorder="1" applyProtection="1"/>
    <xf numFmtId="0" fontId="30" fillId="2" borderId="0" xfId="0" applyFont="1" applyFill="1"/>
    <xf numFmtId="3" fontId="35" fillId="2" borderId="4" xfId="0" applyNumberFormat="1" applyFont="1" applyFill="1" applyBorder="1" applyAlignment="1" applyProtection="1">
      <protection locked="0"/>
    </xf>
    <xf numFmtId="165" fontId="35" fillId="2" borderId="0" xfId="1" applyNumberFormat="1" applyFont="1" applyFill="1"/>
    <xf numFmtId="3" fontId="35" fillId="2" borderId="0" xfId="0" applyNumberFormat="1" applyFont="1" applyFill="1"/>
    <xf numFmtId="0" fontId="35" fillId="2" borderId="0" xfId="0" applyFont="1" applyFill="1"/>
    <xf numFmtId="0" fontId="69" fillId="2" borderId="0" xfId="0" applyFont="1" applyFill="1" applyAlignment="1">
      <alignment horizontal="center"/>
    </xf>
    <xf numFmtId="0" fontId="31" fillId="2" borderId="0" xfId="0" applyFont="1" applyFill="1"/>
    <xf numFmtId="3" fontId="21" fillId="2" borderId="0" xfId="0" applyNumberFormat="1" applyFont="1" applyFill="1"/>
    <xf numFmtId="165" fontId="21" fillId="2" borderId="0" xfId="1" applyNumberFormat="1" applyFont="1" applyFill="1"/>
    <xf numFmtId="0" fontId="35" fillId="2" borderId="0" xfId="0" applyFont="1" applyFill="1" applyAlignment="1">
      <alignment horizontal="left"/>
    </xf>
    <xf numFmtId="0" fontId="30" fillId="2" borderId="0" xfId="0" applyFont="1" applyFill="1" applyAlignment="1">
      <alignment horizontal="left"/>
    </xf>
    <xf numFmtId="3" fontId="22" fillId="2" borderId="0" xfId="0" applyNumberFormat="1" applyFont="1" applyFill="1" applyBorder="1"/>
    <xf numFmtId="0" fontId="22" fillId="37" borderId="0" xfId="0" applyFont="1" applyFill="1" applyBorder="1" applyAlignment="1">
      <alignment horizontal="center" vertical="center" wrapText="1"/>
    </xf>
    <xf numFmtId="0" fontId="22" fillId="16" borderId="0" xfId="0" applyFont="1" applyFill="1" applyBorder="1" applyAlignment="1">
      <alignment horizontal="center"/>
    </xf>
    <xf numFmtId="165" fontId="35" fillId="16" borderId="0" xfId="0" applyNumberFormat="1" applyFont="1" applyFill="1" applyBorder="1"/>
    <xf numFmtId="3" fontId="22" fillId="16" borderId="0" xfId="0" applyNumberFormat="1" applyFont="1" applyFill="1" applyBorder="1"/>
    <xf numFmtId="165" fontId="35" fillId="16" borderId="0" xfId="1" applyNumberFormat="1" applyFont="1" applyFill="1" applyBorder="1"/>
    <xf numFmtId="0" fontId="39" fillId="16" borderId="0" xfId="0" applyFont="1" applyFill="1" applyBorder="1"/>
    <xf numFmtId="3" fontId="39" fillId="16" borderId="0" xfId="0" applyNumberFormat="1" applyFont="1" applyFill="1" applyBorder="1"/>
    <xf numFmtId="3" fontId="39" fillId="16" borderId="0" xfId="2" applyNumberFormat="1" applyFont="1" applyFill="1" applyBorder="1"/>
    <xf numFmtId="3" fontId="71" fillId="16" borderId="0" xfId="2" applyNumberFormat="1" applyFont="1" applyFill="1" applyBorder="1"/>
    <xf numFmtId="165" fontId="35" fillId="16" borderId="0" xfId="2" applyNumberFormat="1" applyFont="1" applyFill="1" applyBorder="1"/>
    <xf numFmtId="0" fontId="22" fillId="16" borderId="0" xfId="0" applyFont="1" applyFill="1" applyBorder="1"/>
    <xf numFmtId="0" fontId="39" fillId="2" borderId="0" xfId="0" applyFont="1" applyFill="1" applyBorder="1"/>
    <xf numFmtId="0" fontId="31" fillId="16" borderId="0" xfId="0" applyFont="1" applyFill="1" applyBorder="1"/>
    <xf numFmtId="0" fontId="74" fillId="16" borderId="0" xfId="0" applyFont="1" applyFill="1"/>
    <xf numFmtId="0" fontId="35" fillId="16" borderId="0" xfId="0" applyFont="1" applyFill="1" applyBorder="1"/>
    <xf numFmtId="165" fontId="21" fillId="16" borderId="0" xfId="1" applyNumberFormat="1" applyFont="1" applyFill="1"/>
    <xf numFmtId="0" fontId="21" fillId="16" borderId="0" xfId="0" applyFont="1" applyFill="1" applyBorder="1"/>
    <xf numFmtId="0" fontId="21" fillId="16" borderId="0" xfId="0" applyFont="1" applyFill="1"/>
    <xf numFmtId="0" fontId="22" fillId="2" borderId="0" xfId="0" applyFont="1" applyFill="1" applyProtection="1"/>
    <xf numFmtId="0" fontId="47" fillId="16" borderId="0" xfId="0" applyFont="1" applyFill="1" applyAlignment="1"/>
    <xf numFmtId="0" fontId="22" fillId="2" borderId="0" xfId="0" applyFont="1" applyFill="1" applyAlignment="1" applyProtection="1">
      <alignment horizontal="center" vertical="center"/>
    </xf>
    <xf numFmtId="0" fontId="22" fillId="2" borderId="0" xfId="0" applyFont="1" applyFill="1" applyBorder="1" applyAlignment="1" applyProtection="1">
      <alignment horizontal="center" vertical="center"/>
    </xf>
    <xf numFmtId="0" fontId="39" fillId="16" borderId="0" xfId="0" applyFont="1" applyFill="1" applyAlignment="1">
      <alignment vertical="center"/>
    </xf>
    <xf numFmtId="3" fontId="39" fillId="16" borderId="0" xfId="0" applyNumberFormat="1" applyFont="1" applyFill="1" applyAlignment="1">
      <alignment horizontal="right" vertical="center"/>
    </xf>
    <xf numFmtId="3" fontId="39" fillId="16" borderId="0" xfId="0" applyNumberFormat="1" applyFont="1" applyFill="1" applyAlignment="1">
      <alignment horizontal="right" vertical="center" indent="1"/>
    </xf>
    <xf numFmtId="0" fontId="39" fillId="16" borderId="0" xfId="0" applyFont="1" applyFill="1" applyAlignment="1">
      <alignment horizontal="right" vertical="center"/>
    </xf>
    <xf numFmtId="165" fontId="39" fillId="16" borderId="0" xfId="0" applyNumberFormat="1" applyFont="1" applyFill="1" applyAlignment="1">
      <alignment horizontal="right" vertical="center"/>
    </xf>
    <xf numFmtId="165" fontId="39" fillId="16" borderId="0" xfId="1" applyNumberFormat="1" applyFont="1" applyFill="1" applyAlignment="1">
      <alignment horizontal="right" vertical="center"/>
    </xf>
    <xf numFmtId="4" fontId="39" fillId="16" borderId="0" xfId="1" applyNumberFormat="1" applyFont="1" applyFill="1" applyAlignment="1">
      <alignment horizontal="right" vertical="center"/>
    </xf>
    <xf numFmtId="0" fontId="35" fillId="16" borderId="0" xfId="0" applyFont="1" applyFill="1"/>
    <xf numFmtId="173" fontId="39" fillId="2" borderId="0" xfId="0" applyNumberFormat="1" applyFont="1" applyFill="1" applyBorder="1" applyAlignment="1" applyProtection="1">
      <alignment wrapText="1"/>
    </xf>
    <xf numFmtId="0" fontId="22" fillId="37" borderId="0" xfId="0" applyFont="1" applyFill="1" applyBorder="1" applyAlignment="1" applyProtection="1">
      <alignment horizontal="center" vertical="center" wrapText="1"/>
    </xf>
    <xf numFmtId="172" fontId="111" fillId="2" borderId="0" xfId="0" applyNumberFormat="1" applyFont="1" applyFill="1" applyBorder="1" applyAlignment="1" applyProtection="1">
      <alignment vertical="center"/>
    </xf>
    <xf numFmtId="173" fontId="111" fillId="2" borderId="0" xfId="0" applyNumberFormat="1" applyFont="1" applyFill="1" applyBorder="1" applyAlignment="1" applyProtection="1">
      <alignment horizontal="center" wrapText="1"/>
    </xf>
    <xf numFmtId="173" fontId="111" fillId="2" borderId="0" xfId="0" applyNumberFormat="1" applyFont="1" applyFill="1" applyBorder="1" applyAlignment="1" applyProtection="1">
      <alignment horizontal="center" vertical="center" wrapText="1"/>
    </xf>
    <xf numFmtId="0" fontId="31" fillId="2" borderId="0" xfId="0" applyFont="1" applyFill="1" applyBorder="1"/>
    <xf numFmtId="0" fontId="22" fillId="37" borderId="0" xfId="0" applyFont="1" applyFill="1" applyBorder="1" applyAlignment="1" applyProtection="1">
      <alignment horizontal="left" vertical="center" wrapText="1"/>
    </xf>
    <xf numFmtId="169" fontId="22" fillId="16" borderId="0" xfId="0" applyNumberFormat="1" applyFont="1" applyFill="1" applyBorder="1" applyAlignment="1" applyProtection="1">
      <alignment horizontal="center" wrapText="1"/>
    </xf>
    <xf numFmtId="3" fontId="22" fillId="16" borderId="0" xfId="0" applyNumberFormat="1" applyFont="1" applyFill="1" applyBorder="1" applyAlignment="1" applyProtection="1">
      <alignment horizontal="center" wrapText="1"/>
    </xf>
    <xf numFmtId="3" fontId="39" fillId="16" borderId="0" xfId="0" applyNumberFormat="1" applyFont="1" applyFill="1" applyBorder="1" applyAlignment="1" applyProtection="1">
      <alignment wrapText="1"/>
    </xf>
    <xf numFmtId="3" fontId="22" fillId="16" borderId="0" xfId="0" applyNumberFormat="1" applyFont="1" applyFill="1" applyBorder="1" applyAlignment="1" applyProtection="1">
      <alignment wrapText="1"/>
    </xf>
    <xf numFmtId="3" fontId="39" fillId="16" borderId="135" xfId="0" applyNumberFormat="1" applyFont="1" applyFill="1" applyBorder="1" applyAlignment="1" applyProtection="1">
      <alignment wrapText="1"/>
    </xf>
    <xf numFmtId="3" fontId="22" fillId="2" borderId="135" xfId="0" applyNumberFormat="1" applyFont="1" applyFill="1" applyBorder="1"/>
    <xf numFmtId="0" fontId="69" fillId="2" borderId="0" xfId="0" applyFont="1" applyFill="1" applyBorder="1" applyAlignment="1" applyProtection="1">
      <alignment vertical="center"/>
    </xf>
    <xf numFmtId="0" fontId="39" fillId="2" borderId="135" xfId="0" applyFont="1" applyFill="1" applyBorder="1" applyAlignment="1" applyProtection="1">
      <alignment horizontal="left" vertical="center"/>
    </xf>
    <xf numFmtId="0" fontId="39" fillId="2" borderId="128" xfId="0" applyFont="1" applyFill="1" applyBorder="1" applyAlignment="1" applyProtection="1">
      <alignment vertical="top" wrapText="1"/>
      <protection locked="0"/>
    </xf>
    <xf numFmtId="0" fontId="22" fillId="2" borderId="135" xfId="0" applyFont="1" applyFill="1" applyBorder="1" applyAlignment="1" applyProtection="1">
      <alignment horizontal="center" wrapText="1"/>
    </xf>
    <xf numFmtId="0" fontId="39" fillId="2" borderId="135" xfId="0" applyFont="1" applyFill="1" applyBorder="1" applyAlignment="1" applyProtection="1">
      <alignment horizontal="left" vertical="top" wrapText="1"/>
    </xf>
    <xf numFmtId="0" fontId="39" fillId="2" borderId="135" xfId="0" applyFont="1" applyFill="1" applyBorder="1" applyAlignment="1" applyProtection="1">
      <alignment horizontal="left" vertical="top"/>
    </xf>
    <xf numFmtId="0" fontId="74" fillId="16" borderId="0" xfId="0" applyFont="1" applyFill="1" applyBorder="1"/>
    <xf numFmtId="3" fontId="21" fillId="16" borderId="0" xfId="0" applyNumberFormat="1" applyFont="1" applyFill="1" applyBorder="1"/>
    <xf numFmtId="165" fontId="21" fillId="16" borderId="0" xfId="1" applyNumberFormat="1" applyFont="1" applyFill="1" applyBorder="1"/>
    <xf numFmtId="0" fontId="39" fillId="2" borderId="44" xfId="0" applyFont="1" applyFill="1" applyBorder="1" applyAlignment="1" applyProtection="1">
      <alignment vertical="center" wrapText="1"/>
    </xf>
    <xf numFmtId="0" fontId="39" fillId="2" borderId="90" xfId="0" applyFont="1" applyFill="1" applyBorder="1" applyAlignment="1" applyProtection="1">
      <alignment vertical="center" wrapText="1"/>
    </xf>
    <xf numFmtId="0" fontId="22" fillId="2" borderId="136" xfId="0" applyFont="1" applyFill="1" applyBorder="1" applyAlignment="1" applyProtection="1">
      <alignment horizontal="center" vertical="center" wrapText="1"/>
    </xf>
    <xf numFmtId="0" fontId="39" fillId="2" borderId="136" xfId="0" applyFont="1" applyFill="1" applyBorder="1" applyAlignment="1" applyProtection="1">
      <alignment horizontal="left" vertical="center" wrapText="1"/>
    </xf>
    <xf numFmtId="0" fontId="31" fillId="16" borderId="0" xfId="0" applyFont="1" applyFill="1" applyBorder="1" applyAlignment="1"/>
    <xf numFmtId="172" fontId="22" fillId="16" borderId="0" xfId="0" applyNumberFormat="1" applyFont="1" applyFill="1" applyBorder="1" applyAlignment="1">
      <alignment horizontal="center" wrapText="1"/>
    </xf>
    <xf numFmtId="0" fontId="22" fillId="37" borderId="128" xfId="0" applyFont="1" applyFill="1" applyBorder="1" applyAlignment="1" applyProtection="1">
      <alignment horizontal="center" wrapText="1"/>
    </xf>
    <xf numFmtId="172" fontId="39" fillId="17" borderId="0" xfId="0" applyNumberFormat="1" applyFont="1" applyFill="1" applyBorder="1" applyProtection="1"/>
    <xf numFmtId="172" fontId="39" fillId="2" borderId="89" xfId="0" applyNumberFormat="1" applyFont="1" applyFill="1" applyBorder="1" applyAlignment="1" applyProtection="1">
      <alignment wrapText="1"/>
    </xf>
    <xf numFmtId="172" fontId="39" fillId="17" borderId="110" xfId="0" applyNumberFormat="1" applyFont="1" applyFill="1" applyBorder="1" applyProtection="1"/>
    <xf numFmtId="172" fontId="39" fillId="17" borderId="90" xfId="0" applyNumberFormat="1" applyFont="1" applyFill="1" applyBorder="1" applyProtection="1"/>
    <xf numFmtId="172" fontId="39" fillId="2" borderId="91" xfId="0" applyNumberFormat="1" applyFont="1" applyFill="1" applyBorder="1" applyAlignment="1" applyProtection="1">
      <alignment wrapText="1"/>
    </xf>
    <xf numFmtId="172" fontId="39" fillId="17" borderId="92" xfId="0" applyNumberFormat="1" applyFont="1" applyFill="1" applyBorder="1" applyProtection="1"/>
    <xf numFmtId="172" fontId="39" fillId="2" borderId="93" xfId="0" applyNumberFormat="1" applyFont="1" applyFill="1" applyBorder="1" applyAlignment="1" applyProtection="1">
      <alignment wrapText="1"/>
    </xf>
    <xf numFmtId="172" fontId="39" fillId="17" borderId="108" xfId="0" applyNumberFormat="1" applyFont="1" applyFill="1" applyBorder="1" applyProtection="1"/>
    <xf numFmtId="172" fontId="39" fillId="17" borderId="94" xfId="0" applyNumberFormat="1" applyFont="1" applyFill="1" applyBorder="1" applyProtection="1"/>
    <xf numFmtId="0" fontId="35" fillId="16" borderId="128" xfId="0" applyFont="1" applyFill="1" applyBorder="1"/>
    <xf numFmtId="0" fontId="35" fillId="16" borderId="111" xfId="0" applyFont="1" applyFill="1" applyBorder="1"/>
    <xf numFmtId="0" fontId="35" fillId="16" borderId="84" xfId="0" applyFont="1" applyFill="1" applyBorder="1"/>
    <xf numFmtId="172" fontId="39" fillId="2" borderId="128" xfId="0" applyNumberFormat="1" applyFont="1" applyFill="1" applyBorder="1" applyProtection="1"/>
    <xf numFmtId="172" fontId="39" fillId="2" borderId="111" xfId="0" applyNumberFormat="1" applyFont="1" applyFill="1" applyBorder="1" applyProtection="1"/>
    <xf numFmtId="172" fontId="39" fillId="2" borderId="84" xfId="0" applyNumberFormat="1" applyFont="1" applyFill="1" applyBorder="1" applyProtection="1"/>
    <xf numFmtId="0" fontId="21" fillId="37" borderId="128" xfId="0" applyFont="1" applyFill="1" applyBorder="1" applyAlignment="1">
      <alignment horizontal="left" vertical="center" wrapText="1"/>
    </xf>
    <xf numFmtId="0" fontId="22" fillId="37" borderId="128" xfId="0" applyFont="1" applyFill="1" applyBorder="1" applyAlignment="1" applyProtection="1">
      <alignment horizontal="center" vertical="center" wrapText="1"/>
    </xf>
    <xf numFmtId="172" fontId="39" fillId="2" borderId="89" xfId="0" applyNumberFormat="1" applyFont="1" applyFill="1" applyBorder="1" applyAlignment="1" applyProtection="1">
      <alignment horizontal="left" vertical="center" wrapText="1"/>
    </xf>
    <xf numFmtId="172" fontId="39" fillId="2" borderId="110" xfId="0" applyNumberFormat="1" applyFont="1" applyFill="1" applyBorder="1" applyAlignment="1" applyProtection="1">
      <alignment horizontal="center" vertical="center" wrapText="1"/>
    </xf>
    <xf numFmtId="14" fontId="39" fillId="2" borderId="110" xfId="0" applyNumberFormat="1" applyFont="1" applyFill="1" applyBorder="1" applyAlignment="1" applyProtection="1">
      <alignment horizontal="center" vertical="center" wrapText="1"/>
    </xf>
    <xf numFmtId="172" fontId="39" fillId="2" borderId="90" xfId="0" applyNumberFormat="1" applyFont="1" applyFill="1" applyBorder="1" applyAlignment="1" applyProtection="1">
      <alignment horizontal="center" vertical="center" wrapText="1"/>
    </xf>
    <xf numFmtId="172" fontId="39" fillId="2" borderId="91" xfId="0" applyNumberFormat="1" applyFont="1" applyFill="1" applyBorder="1" applyAlignment="1" applyProtection="1">
      <alignment horizontal="left" vertical="center" wrapText="1"/>
    </xf>
    <xf numFmtId="172" fontId="39" fillId="2" borderId="92" xfId="0" applyNumberFormat="1" applyFont="1" applyFill="1" applyBorder="1" applyAlignment="1" applyProtection="1">
      <alignment horizontal="center" vertical="center" wrapText="1"/>
    </xf>
    <xf numFmtId="172" fontId="39" fillId="2" borderId="93" xfId="0" applyNumberFormat="1" applyFont="1" applyFill="1" applyBorder="1" applyAlignment="1" applyProtection="1">
      <alignment horizontal="left" vertical="center" wrapText="1"/>
    </xf>
    <xf numFmtId="172" fontId="39" fillId="2" borderId="108" xfId="0" applyNumberFormat="1" applyFont="1" applyFill="1" applyBorder="1" applyAlignment="1" applyProtection="1">
      <alignment horizontal="center" vertical="center" wrapText="1"/>
    </xf>
    <xf numFmtId="14" fontId="39" fillId="2" borderId="108" xfId="0" applyNumberFormat="1" applyFont="1" applyFill="1" applyBorder="1" applyAlignment="1" applyProtection="1">
      <alignment horizontal="center" vertical="center" wrapText="1"/>
    </xf>
    <xf numFmtId="172" fontId="39" fillId="2" borderId="94" xfId="0" applyNumberFormat="1" applyFont="1" applyFill="1" applyBorder="1" applyAlignment="1" applyProtection="1">
      <alignment horizontal="center" vertical="center" wrapText="1"/>
    </xf>
    <xf numFmtId="172" fontId="39" fillId="2" borderId="128" xfId="0" applyNumberFormat="1" applyFont="1" applyFill="1" applyBorder="1" applyAlignment="1" applyProtection="1">
      <alignment horizontal="center" vertical="center" wrapText="1"/>
    </xf>
    <xf numFmtId="172" fontId="39" fillId="2" borderId="111" xfId="0" applyNumberFormat="1" applyFont="1" applyFill="1" applyBorder="1" applyAlignment="1" applyProtection="1">
      <alignment horizontal="center" vertical="center" wrapText="1"/>
    </xf>
    <xf numFmtId="172" fontId="39" fillId="2" borderId="84" xfId="0" applyNumberFormat="1" applyFont="1" applyFill="1" applyBorder="1" applyAlignment="1" applyProtection="1">
      <alignment horizontal="center" vertical="center" wrapText="1"/>
    </xf>
    <xf numFmtId="9" fontId="39" fillId="2" borderId="128" xfId="1" applyFont="1" applyFill="1" applyBorder="1" applyAlignment="1" applyProtection="1">
      <alignment horizontal="center" vertical="center" wrapText="1"/>
    </xf>
    <xf numFmtId="9" fontId="39" fillId="2" borderId="111" xfId="1" applyFont="1" applyFill="1" applyBorder="1" applyAlignment="1" applyProtection="1">
      <alignment horizontal="center" vertical="center" wrapText="1"/>
    </xf>
    <xf numFmtId="9" fontId="39" fillId="2" borderId="84" xfId="1" applyFont="1" applyFill="1" applyBorder="1" applyAlignment="1" applyProtection="1">
      <alignment horizontal="center" vertical="center" wrapText="1"/>
    </xf>
    <xf numFmtId="172" fontId="49" fillId="2" borderId="128" xfId="0" applyNumberFormat="1" applyFont="1" applyFill="1" applyBorder="1" applyAlignment="1" applyProtection="1">
      <alignment horizontal="center" vertical="center" wrapText="1"/>
    </xf>
    <xf numFmtId="0" fontId="2" fillId="16" borderId="0" xfId="0" applyFont="1" applyFill="1" applyAlignment="1">
      <alignment horizontal="center"/>
    </xf>
    <xf numFmtId="0" fontId="39" fillId="41" borderId="73" xfId="0" applyFont="1" applyFill="1" applyBorder="1" applyAlignment="1" applyProtection="1">
      <alignment vertical="top" wrapText="1"/>
    </xf>
    <xf numFmtId="0" fontId="39" fillId="41" borderId="128" xfId="0" applyFont="1" applyFill="1" applyBorder="1" applyAlignment="1" applyProtection="1">
      <alignment vertical="top" wrapText="1"/>
    </xf>
    <xf numFmtId="172" fontId="39" fillId="16" borderId="0" xfId="0" applyNumberFormat="1" applyFont="1" applyFill="1" applyAlignment="1">
      <alignment vertical="center"/>
    </xf>
    <xf numFmtId="0" fontId="2" fillId="7" borderId="0" xfId="0" applyFont="1" applyFill="1" applyAlignment="1" applyProtection="1">
      <alignment horizontal="right"/>
    </xf>
    <xf numFmtId="167" fontId="22" fillId="2" borderId="0" xfId="0" applyNumberFormat="1" applyFont="1" applyFill="1" applyBorder="1" applyAlignment="1" applyProtection="1">
      <alignment horizontal="left" vertical="center" wrapText="1"/>
      <protection locked="0"/>
    </xf>
    <xf numFmtId="167" fontId="22" fillId="2" borderId="0" xfId="0" applyNumberFormat="1" applyFont="1" applyFill="1" applyBorder="1" applyAlignment="1" applyProtection="1">
      <alignment horizontal="right" vertical="center" wrapText="1"/>
      <protection locked="0"/>
    </xf>
    <xf numFmtId="172" fontId="22" fillId="2" borderId="0" xfId="0" applyNumberFormat="1" applyFont="1" applyFill="1" applyBorder="1" applyAlignment="1" applyProtection="1">
      <alignment wrapText="1"/>
    </xf>
    <xf numFmtId="172" fontId="22" fillId="2" borderId="0" xfId="0" applyNumberFormat="1" applyFont="1" applyFill="1" applyBorder="1" applyProtection="1"/>
    <xf numFmtId="172" fontId="22" fillId="17" borderId="0" xfId="0" applyNumberFormat="1" applyFont="1" applyFill="1" applyBorder="1" applyProtection="1"/>
    <xf numFmtId="0" fontId="3" fillId="16" borderId="0" xfId="0" applyFont="1" applyFill="1" applyBorder="1" applyAlignment="1">
      <alignment horizontal="center" vertical="center" textRotation="90"/>
    </xf>
    <xf numFmtId="0" fontId="3" fillId="16" borderId="0" xfId="0" applyFont="1" applyFill="1" applyBorder="1" applyAlignment="1">
      <alignment horizontal="center" vertical="center" textRotation="90" wrapText="1"/>
    </xf>
    <xf numFmtId="0" fontId="7" fillId="9" borderId="0" xfId="0" applyFont="1" applyFill="1" applyBorder="1" applyAlignment="1">
      <alignment vertical="center"/>
    </xf>
    <xf numFmtId="0" fontId="118" fillId="7" borderId="0" xfId="0" applyFont="1" applyFill="1" applyBorder="1" applyProtection="1"/>
    <xf numFmtId="0" fontId="118" fillId="2" borderId="0" xfId="0" applyFont="1" applyFill="1" applyBorder="1" applyAlignment="1" applyProtection="1">
      <alignment horizontal="left"/>
    </xf>
    <xf numFmtId="0" fontId="118" fillId="7" borderId="0" xfId="3" applyFont="1" applyFill="1" applyBorder="1" applyAlignment="1" applyProtection="1">
      <alignment horizontal="center" vertical="center"/>
    </xf>
    <xf numFmtId="172" fontId="39" fillId="18" borderId="0" xfId="0" applyNumberFormat="1" applyFont="1" applyFill="1" applyBorder="1" applyAlignment="1" applyProtection="1">
      <alignment horizontal="center" vertical="center"/>
    </xf>
    <xf numFmtId="0" fontId="5" fillId="16" borderId="0" xfId="0" applyFont="1" applyFill="1" applyAlignment="1">
      <alignment horizontal="center" vertical="center"/>
    </xf>
    <xf numFmtId="0" fontId="5" fillId="9" borderId="0" xfId="0" applyFont="1" applyFill="1" applyAlignment="1">
      <alignment horizontal="center" vertical="center"/>
    </xf>
    <xf numFmtId="0" fontId="22" fillId="2" borderId="0" xfId="0" applyFont="1" applyFill="1"/>
    <xf numFmtId="172" fontId="39" fillId="2" borderId="0" xfId="0" applyNumberFormat="1" applyFont="1" applyFill="1" applyBorder="1" applyAlignment="1" applyProtection="1">
      <alignment wrapText="1"/>
    </xf>
    <xf numFmtId="172" fontId="111" fillId="2" borderId="89" xfId="0" applyNumberFormat="1" applyFont="1" applyFill="1" applyBorder="1" applyAlignment="1" applyProtection="1">
      <alignment horizontal="left" vertical="center" wrapText="1"/>
    </xf>
    <xf numFmtId="172" fontId="111" fillId="2" borderId="109" xfId="0" applyNumberFormat="1" applyFont="1" applyFill="1" applyBorder="1" applyAlignment="1" applyProtection="1">
      <alignment horizontal="center" vertical="center" wrapText="1"/>
    </xf>
    <xf numFmtId="172" fontId="111" fillId="2" borderId="110" xfId="0" applyNumberFormat="1" applyFont="1" applyFill="1" applyBorder="1" applyAlignment="1" applyProtection="1">
      <alignment horizontal="center" vertical="center" wrapText="1"/>
    </xf>
    <xf numFmtId="9" fontId="111" fillId="2" borderId="109" xfId="1" applyFont="1" applyFill="1" applyBorder="1" applyAlignment="1" applyProtection="1">
      <alignment horizontal="center" vertical="center" wrapText="1"/>
    </xf>
    <xf numFmtId="14" fontId="111" fillId="2" borderId="110" xfId="0" applyNumberFormat="1" applyFont="1" applyFill="1" applyBorder="1" applyAlignment="1" applyProtection="1">
      <alignment horizontal="center" vertical="center" wrapText="1"/>
    </xf>
    <xf numFmtId="172" fontId="120" fillId="2" borderId="109" xfId="0" applyNumberFormat="1" applyFont="1" applyFill="1" applyBorder="1" applyAlignment="1" applyProtection="1">
      <alignment horizontal="center" vertical="center" wrapText="1"/>
    </xf>
    <xf numFmtId="172" fontId="111" fillId="2" borderId="90" xfId="0" applyNumberFormat="1" applyFont="1" applyFill="1" applyBorder="1" applyAlignment="1" applyProtection="1">
      <alignment horizontal="center" vertical="center" wrapText="1"/>
    </xf>
    <xf numFmtId="172" fontId="111" fillId="2" borderId="91" xfId="0" applyNumberFormat="1" applyFont="1" applyFill="1" applyBorder="1" applyAlignment="1" applyProtection="1">
      <alignment horizontal="left" vertical="center" wrapText="1"/>
    </xf>
    <xf numFmtId="172" fontId="111" fillId="2" borderId="111" xfId="0" applyNumberFormat="1" applyFont="1" applyFill="1" applyBorder="1" applyAlignment="1" applyProtection="1">
      <alignment horizontal="center" vertical="center" wrapText="1"/>
    </xf>
    <xf numFmtId="172" fontId="111" fillId="2" borderId="0" xfId="0" applyNumberFormat="1" applyFont="1" applyFill="1" applyBorder="1" applyAlignment="1" applyProtection="1">
      <alignment horizontal="center" vertical="center" wrapText="1"/>
    </xf>
    <xf numFmtId="9" fontId="111" fillId="2" borderId="111" xfId="1" applyFont="1" applyFill="1" applyBorder="1" applyAlignment="1" applyProtection="1">
      <alignment horizontal="center" vertical="center" wrapText="1"/>
    </xf>
    <xf numFmtId="14" fontId="111" fillId="2" borderId="0" xfId="0" applyNumberFormat="1" applyFont="1" applyFill="1" applyBorder="1" applyAlignment="1" applyProtection="1">
      <alignment horizontal="center" vertical="center" wrapText="1"/>
    </xf>
    <xf numFmtId="172" fontId="120" fillId="2" borderId="111" xfId="0" applyNumberFormat="1" applyFont="1" applyFill="1" applyBorder="1" applyAlignment="1" applyProtection="1">
      <alignment horizontal="center" vertical="center" wrapText="1"/>
    </xf>
    <xf numFmtId="172" fontId="111" fillId="2" borderId="92" xfId="0" applyNumberFormat="1" applyFont="1" applyFill="1" applyBorder="1" applyAlignment="1" applyProtection="1">
      <alignment horizontal="center" vertical="center" wrapText="1"/>
    </xf>
    <xf numFmtId="172" fontId="111" fillId="2" borderId="93" xfId="0" applyNumberFormat="1" applyFont="1" applyFill="1" applyBorder="1" applyAlignment="1" applyProtection="1">
      <alignment horizontal="left" vertical="center" wrapText="1"/>
    </xf>
    <xf numFmtId="172" fontId="111" fillId="2" borderId="84" xfId="0" applyNumberFormat="1" applyFont="1" applyFill="1" applyBorder="1" applyAlignment="1" applyProtection="1">
      <alignment horizontal="center" vertical="center" wrapText="1"/>
    </xf>
    <xf numFmtId="172" fontId="111" fillId="2" borderId="108" xfId="0" applyNumberFormat="1" applyFont="1" applyFill="1" applyBorder="1" applyAlignment="1" applyProtection="1">
      <alignment horizontal="center" vertical="center" wrapText="1"/>
    </xf>
    <xf numFmtId="9" fontId="111" fillId="2" borderId="84" xfId="1" applyFont="1" applyFill="1" applyBorder="1" applyAlignment="1" applyProtection="1">
      <alignment horizontal="center" vertical="center" wrapText="1"/>
    </xf>
    <xf numFmtId="14" fontId="111" fillId="2" borderId="108" xfId="0" applyNumberFormat="1" applyFont="1" applyFill="1" applyBorder="1" applyAlignment="1" applyProtection="1">
      <alignment horizontal="center" vertical="center" wrapText="1"/>
    </xf>
    <xf numFmtId="172" fontId="120" fillId="2" borderId="84" xfId="0" applyNumberFormat="1" applyFont="1" applyFill="1" applyBorder="1" applyAlignment="1" applyProtection="1">
      <alignment horizontal="center" vertical="center" wrapText="1"/>
    </xf>
    <xf numFmtId="172" fontId="111" fillId="2" borderId="94" xfId="0" applyNumberFormat="1" applyFont="1" applyFill="1" applyBorder="1" applyAlignment="1" applyProtection="1">
      <alignment horizontal="center" vertical="center" wrapText="1"/>
    </xf>
    <xf numFmtId="172" fontId="111" fillId="2" borderId="89" xfId="0" applyNumberFormat="1" applyFont="1" applyFill="1" applyBorder="1" applyAlignment="1" applyProtection="1">
      <alignment wrapText="1"/>
    </xf>
    <xf numFmtId="172" fontId="111" fillId="2" borderId="128" xfId="0" applyNumberFormat="1" applyFont="1" applyFill="1" applyBorder="1" applyProtection="1"/>
    <xf numFmtId="172" fontId="77" fillId="17" borderId="110" xfId="0" applyNumberFormat="1" applyFont="1" applyFill="1" applyBorder="1" applyProtection="1"/>
    <xf numFmtId="172" fontId="77" fillId="2" borderId="128" xfId="0" applyNumberFormat="1" applyFont="1" applyFill="1" applyBorder="1" applyProtection="1"/>
    <xf numFmtId="172" fontId="77" fillId="17" borderId="90" xfId="0" applyNumberFormat="1" applyFont="1" applyFill="1" applyBorder="1" applyProtection="1"/>
    <xf numFmtId="0" fontId="80" fillId="16" borderId="128" xfId="0" applyFont="1" applyFill="1" applyBorder="1"/>
    <xf numFmtId="172" fontId="111" fillId="2" borderId="91" xfId="0" applyNumberFormat="1" applyFont="1" applyFill="1" applyBorder="1" applyAlignment="1" applyProtection="1">
      <alignment wrapText="1"/>
    </xf>
    <xf numFmtId="172" fontId="111" fillId="2" borderId="111" xfId="0" applyNumberFormat="1" applyFont="1" applyFill="1" applyBorder="1" applyProtection="1"/>
    <xf numFmtId="172" fontId="77" fillId="17" borderId="0" xfId="0" applyNumberFormat="1" applyFont="1" applyFill="1" applyBorder="1" applyProtection="1"/>
    <xf numFmtId="172" fontId="77" fillId="2" borderId="111" xfId="0" applyNumberFormat="1" applyFont="1" applyFill="1" applyBorder="1" applyProtection="1"/>
    <xf numFmtId="172" fontId="77" fillId="17" borderId="92" xfId="0" applyNumberFormat="1" applyFont="1" applyFill="1" applyBorder="1" applyProtection="1"/>
    <xf numFmtId="0" fontId="80" fillId="16" borderId="111" xfId="0" applyFont="1" applyFill="1" applyBorder="1"/>
    <xf numFmtId="172" fontId="111" fillId="2" borderId="93" xfId="0" applyNumberFormat="1" applyFont="1" applyFill="1" applyBorder="1" applyAlignment="1" applyProtection="1">
      <alignment wrapText="1"/>
    </xf>
    <xf numFmtId="172" fontId="111" fillId="2" borderId="84" xfId="0" applyNumberFormat="1" applyFont="1" applyFill="1" applyBorder="1" applyProtection="1"/>
    <xf numFmtId="172" fontId="77" fillId="17" borderId="108" xfId="0" applyNumberFormat="1" applyFont="1" applyFill="1" applyBorder="1" applyProtection="1"/>
    <xf numFmtId="172" fontId="77" fillId="2" borderId="84" xfId="0" applyNumberFormat="1" applyFont="1" applyFill="1" applyBorder="1" applyProtection="1"/>
    <xf numFmtId="172" fontId="77" fillId="17" borderId="94" xfId="0" applyNumberFormat="1" applyFont="1" applyFill="1" applyBorder="1" applyProtection="1"/>
    <xf numFmtId="0" fontId="80" fillId="16" borderId="84" xfId="0" applyFont="1" applyFill="1" applyBorder="1"/>
    <xf numFmtId="3" fontId="80" fillId="16" borderId="0" xfId="0" applyNumberFormat="1" applyFont="1" applyFill="1"/>
    <xf numFmtId="165" fontId="80" fillId="16" borderId="0" xfId="1" applyNumberFormat="1" applyFont="1" applyFill="1"/>
    <xf numFmtId="3" fontId="121" fillId="16" borderId="0" xfId="0" applyNumberFormat="1" applyFont="1" applyFill="1" applyBorder="1"/>
    <xf numFmtId="3" fontId="122" fillId="16" borderId="0" xfId="0" applyNumberFormat="1" applyFont="1" applyFill="1"/>
    <xf numFmtId="165" fontId="122" fillId="16" borderId="0" xfId="1" applyNumberFormat="1" applyFont="1" applyFill="1"/>
    <xf numFmtId="3" fontId="121" fillId="16" borderId="0" xfId="0" applyNumberFormat="1" applyFont="1" applyFill="1"/>
    <xf numFmtId="3" fontId="122" fillId="16" borderId="0" xfId="0" applyNumberFormat="1" applyFont="1" applyFill="1" applyBorder="1"/>
    <xf numFmtId="165" fontId="122" fillId="16" borderId="0" xfId="1" applyNumberFormat="1" applyFont="1" applyFill="1" applyBorder="1"/>
    <xf numFmtId="3" fontId="80" fillId="16" borderId="0" xfId="0" applyNumberFormat="1" applyFont="1" applyFill="1" applyBorder="1"/>
    <xf numFmtId="165" fontId="80" fillId="16" borderId="0" xfId="1" applyNumberFormat="1" applyFont="1" applyFill="1" applyBorder="1"/>
    <xf numFmtId="3" fontId="122" fillId="2" borderId="4" xfId="0" applyNumberFormat="1" applyFont="1" applyFill="1" applyBorder="1" applyAlignment="1" applyProtection="1">
      <protection locked="0"/>
    </xf>
    <xf numFmtId="0" fontId="122" fillId="2" borderId="0" xfId="0" applyFont="1" applyFill="1"/>
    <xf numFmtId="3" fontId="80" fillId="2" borderId="0" xfId="0" applyNumberFormat="1" applyFont="1" applyFill="1"/>
    <xf numFmtId="165" fontId="122" fillId="2" borderId="0" xfId="1" applyNumberFormat="1" applyFont="1" applyFill="1"/>
    <xf numFmtId="0" fontId="123" fillId="2" borderId="0" xfId="0" applyFont="1" applyFill="1" applyAlignment="1">
      <alignment horizontal="center"/>
    </xf>
    <xf numFmtId="9" fontId="111" fillId="16" borderId="0" xfId="1" applyFont="1" applyFill="1" applyBorder="1" applyProtection="1"/>
    <xf numFmtId="165" fontId="80" fillId="2" borderId="0" xfId="1" applyNumberFormat="1" applyFont="1" applyFill="1"/>
    <xf numFmtId="3" fontId="122" fillId="2" borderId="0" xfId="0" applyNumberFormat="1" applyFont="1" applyFill="1"/>
    <xf numFmtId="0" fontId="111" fillId="2" borderId="0" xfId="0" applyFont="1" applyFill="1"/>
    <xf numFmtId="3" fontId="77" fillId="2" borderId="135" xfId="0" applyNumberFormat="1" applyFont="1" applyFill="1" applyBorder="1"/>
    <xf numFmtId="0" fontId="111" fillId="2" borderId="0" xfId="0" applyFont="1" applyFill="1" applyBorder="1"/>
    <xf numFmtId="0" fontId="77" fillId="16" borderId="0" xfId="0" applyFont="1" applyFill="1" applyBorder="1" applyAlignment="1">
      <alignment horizontal="center"/>
    </xf>
    <xf numFmtId="165" fontId="122" fillId="16" borderId="0" xfId="0" applyNumberFormat="1" applyFont="1" applyFill="1" applyBorder="1"/>
    <xf numFmtId="3" fontId="77" fillId="16" borderId="0" xfId="0" applyNumberFormat="1" applyFont="1" applyFill="1" applyBorder="1"/>
    <xf numFmtId="3" fontId="111" fillId="16" borderId="0" xfId="0" applyNumberFormat="1" applyFont="1" applyFill="1" applyBorder="1"/>
    <xf numFmtId="3" fontId="111" fillId="16" borderId="0" xfId="2" applyNumberFormat="1" applyFont="1" applyFill="1" applyBorder="1"/>
    <xf numFmtId="3" fontId="124" fillId="16" borderId="0" xfId="2" applyNumberFormat="1" applyFont="1" applyFill="1" applyBorder="1"/>
    <xf numFmtId="165" fontId="122" fillId="16" borderId="0" xfId="2" applyNumberFormat="1" applyFont="1" applyFill="1" applyBorder="1"/>
    <xf numFmtId="3" fontId="111" fillId="16" borderId="0" xfId="0" applyNumberFormat="1" applyFont="1" applyFill="1" applyBorder="1" applyAlignment="1" applyProtection="1">
      <alignment wrapText="1"/>
    </xf>
    <xf numFmtId="0" fontId="111" fillId="2" borderId="0" xfId="0" applyFont="1" applyFill="1" applyBorder="1" applyProtection="1"/>
    <xf numFmtId="3" fontId="77" fillId="16" borderId="0" xfId="0" applyNumberFormat="1" applyFont="1" applyFill="1" applyBorder="1" applyAlignment="1" applyProtection="1">
      <alignment wrapText="1"/>
    </xf>
    <xf numFmtId="3" fontId="111" fillId="16" borderId="135" xfId="0" applyNumberFormat="1" applyFont="1" applyFill="1" applyBorder="1" applyAlignment="1" applyProtection="1">
      <alignment wrapText="1"/>
    </xf>
    <xf numFmtId="3" fontId="111" fillId="16" borderId="0" xfId="0" applyNumberFormat="1" applyFont="1" applyFill="1" applyAlignment="1">
      <alignment horizontal="right" vertical="center"/>
    </xf>
    <xf numFmtId="3" fontId="111" fillId="16" borderId="0" xfId="0" applyNumberFormat="1" applyFont="1" applyFill="1" applyAlignment="1">
      <alignment horizontal="right" vertical="center" indent="1"/>
    </xf>
    <xf numFmtId="165" fontId="111" fillId="16" borderId="0" xfId="0" applyNumberFormat="1" applyFont="1" applyFill="1" applyAlignment="1">
      <alignment horizontal="right" vertical="center"/>
    </xf>
    <xf numFmtId="165" fontId="111" fillId="16" borderId="0" xfId="1" applyNumberFormat="1" applyFont="1" applyFill="1" applyAlignment="1">
      <alignment horizontal="right" vertical="center"/>
    </xf>
    <xf numFmtId="172" fontId="111" fillId="16" borderId="0" xfId="0" applyNumberFormat="1" applyFont="1" applyFill="1" applyAlignment="1">
      <alignment vertical="center"/>
    </xf>
    <xf numFmtId="4" fontId="111" fillId="16" borderId="0" xfId="1" applyNumberFormat="1" applyFont="1" applyFill="1" applyAlignment="1">
      <alignment horizontal="right" vertical="center"/>
    </xf>
    <xf numFmtId="0" fontId="121" fillId="16" borderId="0" xfId="0" applyFont="1" applyFill="1"/>
    <xf numFmtId="0" fontId="118" fillId="7" borderId="62" xfId="3" applyFont="1" applyFill="1" applyBorder="1" applyAlignment="1" applyProtection="1">
      <alignment horizontal="center" vertical="center"/>
    </xf>
    <xf numFmtId="0" fontId="118" fillId="7" borderId="63" xfId="3" applyFont="1" applyFill="1" applyBorder="1" applyAlignment="1" applyProtection="1">
      <alignment horizontal="center" vertical="center"/>
    </xf>
    <xf numFmtId="0" fontId="118" fillId="7" borderId="5" xfId="3" applyFont="1" applyFill="1" applyBorder="1" applyAlignment="1" applyProtection="1">
      <alignment horizontal="center" vertical="center"/>
    </xf>
    <xf numFmtId="0" fontId="118" fillId="7" borderId="71" xfId="3" applyFont="1" applyFill="1" applyBorder="1" applyAlignment="1" applyProtection="1">
      <alignment horizontal="center" vertical="center"/>
    </xf>
    <xf numFmtId="0" fontId="118" fillId="7" borderId="25" xfId="3" applyFont="1" applyFill="1" applyBorder="1" applyAlignment="1" applyProtection="1">
      <alignment horizontal="center" vertical="center"/>
    </xf>
    <xf numFmtId="0" fontId="118" fillId="7" borderId="33" xfId="3" applyFont="1" applyFill="1" applyBorder="1" applyAlignment="1" applyProtection="1">
      <alignment horizontal="center" vertical="center"/>
    </xf>
    <xf numFmtId="0" fontId="10" fillId="3" borderId="4" xfId="0" applyFont="1" applyFill="1" applyBorder="1" applyAlignment="1" applyProtection="1">
      <alignment horizontal="center" wrapText="1"/>
    </xf>
    <xf numFmtId="0" fontId="22" fillId="45" borderId="0" xfId="0" applyFont="1" applyFill="1" applyAlignment="1">
      <alignment horizontal="center"/>
    </xf>
    <xf numFmtId="0" fontId="0" fillId="46" borderId="0" xfId="0" applyFill="1"/>
    <xf numFmtId="0" fontId="126" fillId="0" borderId="144" xfId="0" applyFont="1" applyBorder="1" applyAlignment="1">
      <alignment wrapText="1"/>
    </xf>
    <xf numFmtId="0" fontId="127" fillId="0" borderId="144" xfId="0" applyFont="1" applyBorder="1"/>
    <xf numFmtId="0" fontId="128" fillId="0" borderId="0" xfId="0" applyFont="1"/>
    <xf numFmtId="0" fontId="129" fillId="0" borderId="0" xfId="0" applyFont="1"/>
    <xf numFmtId="0" fontId="126" fillId="13" borderId="144" xfId="0" applyFont="1" applyFill="1" applyBorder="1" applyAlignment="1">
      <alignment wrapText="1"/>
    </xf>
    <xf numFmtId="0" fontId="129" fillId="13" borderId="144" xfId="0" applyFont="1" applyFill="1" applyBorder="1"/>
    <xf numFmtId="0" fontId="130" fillId="0" borderId="0" xfId="0" applyFont="1"/>
    <xf numFmtId="0" fontId="131" fillId="0" borderId="0" xfId="0" applyFont="1"/>
    <xf numFmtId="0" fontId="129" fillId="0" borderId="144" xfId="0" applyFont="1" applyBorder="1" applyAlignment="1">
      <alignment wrapText="1"/>
    </xf>
    <xf numFmtId="0" fontId="129" fillId="0" borderId="144" xfId="0" applyFont="1" applyBorder="1"/>
    <xf numFmtId="0" fontId="0" fillId="0" borderId="144" xfId="0" applyBorder="1"/>
    <xf numFmtId="0" fontId="129" fillId="0" borderId="144" xfId="0" applyFont="1" applyBorder="1" applyAlignment="1">
      <alignment vertical="top" wrapText="1"/>
    </xf>
    <xf numFmtId="0" fontId="129" fillId="0" borderId="0" xfId="0" applyFont="1" applyAlignment="1">
      <alignment vertical="top" wrapText="1"/>
    </xf>
    <xf numFmtId="0" fontId="132" fillId="0" borderId="144" xfId="0" applyFont="1" applyBorder="1" applyAlignment="1">
      <alignment wrapText="1"/>
    </xf>
    <xf numFmtId="0" fontId="129" fillId="0" borderId="0" xfId="0" applyFont="1" applyAlignment="1">
      <alignment wrapText="1"/>
    </xf>
    <xf numFmtId="0" fontId="126" fillId="47" borderId="144" xfId="0" applyFont="1" applyFill="1" applyBorder="1" applyAlignment="1">
      <alignment wrapText="1"/>
    </xf>
    <xf numFmtId="0" fontId="129" fillId="47" borderId="144" xfId="0" applyFont="1" applyFill="1" applyBorder="1"/>
    <xf numFmtId="0" fontId="129" fillId="0" borderId="0" xfId="0" applyFont="1" applyFill="1"/>
    <xf numFmtId="0" fontId="0" fillId="0" borderId="0" xfId="0" applyFill="1"/>
    <xf numFmtId="0" fontId="129" fillId="13" borderId="145" xfId="0" applyFont="1" applyFill="1" applyBorder="1"/>
    <xf numFmtId="0" fontId="0" fillId="47" borderId="145" xfId="0" applyFill="1" applyBorder="1"/>
    <xf numFmtId="0" fontId="0" fillId="0" borderId="145" xfId="0" applyBorder="1"/>
    <xf numFmtId="0" fontId="23" fillId="7" borderId="0" xfId="3" applyFill="1" applyBorder="1" applyAlignment="1">
      <alignment vertical="center" wrapText="1"/>
    </xf>
    <xf numFmtId="0" fontId="0" fillId="7" borderId="0" xfId="0" applyFill="1" applyBorder="1"/>
    <xf numFmtId="3" fontId="39" fillId="16" borderId="0" xfId="0" applyNumberFormat="1" applyFont="1" applyFill="1" applyAlignment="1">
      <alignment vertical="center"/>
    </xf>
    <xf numFmtId="0" fontId="5" fillId="16" borderId="129" xfId="0" applyFont="1" applyFill="1" applyBorder="1" applyAlignment="1">
      <alignment horizontal="center" vertical="center"/>
    </xf>
    <xf numFmtId="0" fontId="5" fillId="16" borderId="128" xfId="0" applyFont="1" applyFill="1" applyBorder="1" applyAlignment="1">
      <alignment horizontal="center" vertical="center"/>
    </xf>
    <xf numFmtId="0" fontId="5" fillId="16" borderId="111" xfId="0" applyFont="1" applyFill="1" applyBorder="1" applyAlignment="1">
      <alignment horizontal="center" vertical="center"/>
    </xf>
    <xf numFmtId="0" fontId="5" fillId="16" borderId="84" xfId="0" applyFont="1" applyFill="1" applyBorder="1" applyAlignment="1">
      <alignment horizontal="center" vertical="center"/>
    </xf>
    <xf numFmtId="167" fontId="9" fillId="8" borderId="25" xfId="0" applyNumberFormat="1" applyFont="1" applyFill="1" applyBorder="1" applyAlignment="1" applyProtection="1">
      <alignment horizontal="left" vertical="center" wrapText="1"/>
    </xf>
    <xf numFmtId="167" fontId="9" fillId="8" borderId="26" xfId="0" applyNumberFormat="1" applyFont="1" applyFill="1" applyBorder="1" applyAlignment="1" applyProtection="1">
      <alignment horizontal="left" vertical="center" wrapText="1"/>
    </xf>
    <xf numFmtId="0" fontId="9" fillId="3" borderId="26" xfId="0" applyFont="1" applyFill="1" applyBorder="1" applyAlignment="1" applyProtection="1">
      <alignment horizontal="left" vertical="center" wrapText="1"/>
    </xf>
    <xf numFmtId="0" fontId="100" fillId="41" borderId="0" xfId="0" applyFont="1" applyFill="1" applyBorder="1" applyAlignment="1" applyProtection="1">
      <alignment horizontal="center" vertical="center" textRotation="90" wrapText="1"/>
    </xf>
    <xf numFmtId="0" fontId="11" fillId="42" borderId="4" xfId="0" applyFont="1" applyFill="1" applyBorder="1" applyAlignment="1" applyProtection="1">
      <alignment horizontal="center" wrapText="1"/>
    </xf>
    <xf numFmtId="172" fontId="122" fillId="16" borderId="140" xfId="0" applyNumberFormat="1" applyFont="1" applyFill="1" applyBorder="1" applyAlignment="1"/>
    <xf numFmtId="172" fontId="122" fillId="16" borderId="141" xfId="0" applyNumberFormat="1" applyFont="1" applyFill="1" applyBorder="1" applyAlignment="1"/>
    <xf numFmtId="3" fontId="111" fillId="2" borderId="140" xfId="0" applyNumberFormat="1" applyFont="1" applyFill="1" applyBorder="1" applyAlignment="1"/>
    <xf numFmtId="3" fontId="111" fillId="2" borderId="141" xfId="0" applyNumberFormat="1" applyFont="1" applyFill="1" applyBorder="1" applyAlignment="1"/>
    <xf numFmtId="0" fontId="39" fillId="2" borderId="0" xfId="0" applyFont="1" applyFill="1" applyAlignment="1">
      <alignment horizontal="right"/>
    </xf>
    <xf numFmtId="172" fontId="21" fillId="2" borderId="0" xfId="0" applyNumberFormat="1" applyFont="1" applyFill="1" applyAlignment="1">
      <alignment vertical="center"/>
    </xf>
    <xf numFmtId="172" fontId="22" fillId="2" borderId="0" xfId="0" applyNumberFormat="1" applyFont="1" applyFill="1" applyAlignment="1">
      <alignment vertical="center"/>
    </xf>
    <xf numFmtId="3" fontId="11" fillId="39" borderId="65" xfId="0" applyNumberFormat="1" applyFont="1" applyFill="1" applyBorder="1" applyProtection="1">
      <protection locked="0"/>
    </xf>
    <xf numFmtId="3" fontId="8" fillId="39" borderId="65" xfId="0" applyNumberFormat="1" applyFont="1" applyFill="1" applyBorder="1" applyProtection="1">
      <protection locked="0"/>
    </xf>
    <xf numFmtId="3" fontId="11" fillId="39" borderId="75" xfId="0" applyNumberFormat="1" applyFont="1" applyFill="1" applyBorder="1" applyProtection="1">
      <protection locked="0"/>
    </xf>
    <xf numFmtId="3" fontId="8" fillId="39" borderId="75" xfId="0" applyNumberFormat="1" applyFont="1" applyFill="1" applyBorder="1" applyProtection="1">
      <protection locked="0"/>
    </xf>
    <xf numFmtId="3" fontId="8" fillId="39" borderId="0" xfId="0" applyNumberFormat="1" applyFont="1" applyFill="1" applyBorder="1" applyProtection="1">
      <protection locked="0"/>
    </xf>
    <xf numFmtId="165" fontId="8" fillId="9" borderId="62" xfId="1" applyNumberFormat="1" applyFont="1" applyFill="1" applyBorder="1"/>
    <xf numFmtId="0" fontId="42" fillId="9" borderId="0" xfId="0" applyFont="1" applyFill="1" applyBorder="1" applyAlignment="1">
      <alignment vertical="top" wrapText="1"/>
    </xf>
    <xf numFmtId="0" fontId="44" fillId="0" borderId="0" xfId="0" applyFont="1" applyBorder="1"/>
    <xf numFmtId="0" fontId="75" fillId="0" borderId="0" xfId="0" applyFont="1" applyBorder="1" applyAlignment="1">
      <alignment vertical="center" textRotation="90"/>
    </xf>
    <xf numFmtId="0" fontId="115" fillId="37" borderId="0" xfId="0" applyFont="1" applyFill="1" applyAlignment="1">
      <alignment horizontal="left" vertical="center" wrapText="1"/>
    </xf>
    <xf numFmtId="0" fontId="22" fillId="2" borderId="0" xfId="0" applyFont="1" applyFill="1" applyAlignment="1">
      <alignment horizontal="left" indent="1"/>
    </xf>
    <xf numFmtId="172" fontId="22" fillId="2" borderId="0" xfId="0" applyNumberFormat="1" applyFont="1" applyFill="1" applyAlignment="1">
      <alignment horizontal="left" indent="1"/>
    </xf>
    <xf numFmtId="0" fontId="22" fillId="2" borderId="0" xfId="0" applyFont="1" applyFill="1" applyAlignment="1">
      <alignment horizontal="right"/>
    </xf>
    <xf numFmtId="3" fontId="37" fillId="7" borderId="26" xfId="0" applyNumberFormat="1" applyFont="1" applyFill="1" applyBorder="1" applyAlignment="1" applyProtection="1">
      <alignment horizontal="left" vertical="top"/>
    </xf>
    <xf numFmtId="10" fontId="37" fillId="4" borderId="4" xfId="0" applyNumberFormat="1" applyFont="1" applyFill="1" applyBorder="1" applyAlignment="1" applyProtection="1">
      <alignment horizontal="center" vertical="top"/>
      <protection locked="0"/>
    </xf>
    <xf numFmtId="14" fontId="119" fillId="4" borderId="4" xfId="0" applyNumberFormat="1" applyFont="1" applyFill="1" applyBorder="1" applyAlignment="1" applyProtection="1">
      <alignment horizontal="center" vertical="top"/>
      <protection locked="0"/>
    </xf>
    <xf numFmtId="0" fontId="37" fillId="4" borderId="26" xfId="0" applyFont="1" applyFill="1" applyBorder="1" applyAlignment="1" applyProtection="1">
      <alignment vertical="top"/>
      <protection locked="0"/>
    </xf>
    <xf numFmtId="0" fontId="37" fillId="4" borderId="146" xfId="0" applyFont="1" applyFill="1" applyBorder="1" applyAlignment="1" applyProtection="1">
      <alignment vertical="top"/>
      <protection locked="0"/>
    </xf>
    <xf numFmtId="0" fontId="37" fillId="4" borderId="87" xfId="0" applyFont="1" applyFill="1" applyBorder="1" applyAlignment="1" applyProtection="1">
      <alignment horizontal="center" vertical="top"/>
      <protection locked="0"/>
    </xf>
    <xf numFmtId="10" fontId="37" fillId="4" borderId="87" xfId="0" applyNumberFormat="1" applyFont="1" applyFill="1" applyBorder="1" applyAlignment="1" applyProtection="1">
      <alignment horizontal="center" vertical="top"/>
      <protection locked="0"/>
    </xf>
    <xf numFmtId="0" fontId="35" fillId="4" borderId="87" xfId="0" applyFont="1" applyFill="1" applyBorder="1" applyAlignment="1" applyProtection="1">
      <alignment horizontal="center" vertical="center"/>
      <protection locked="0"/>
    </xf>
    <xf numFmtId="0" fontId="35" fillId="4" borderId="146" xfId="0" applyFont="1" applyFill="1" applyBorder="1" applyAlignment="1" applyProtection="1">
      <alignment horizontal="left" vertical="center"/>
      <protection locked="0"/>
    </xf>
    <xf numFmtId="10" fontId="35" fillId="4" borderId="87" xfId="0" applyNumberFormat="1" applyFont="1" applyFill="1" applyBorder="1" applyAlignment="1" applyProtection="1">
      <alignment horizontal="center" vertical="center"/>
      <protection locked="0"/>
    </xf>
    <xf numFmtId="0" fontId="37" fillId="4" borderId="4" xfId="0" quotePrefix="1" applyFont="1" applyFill="1" applyBorder="1" applyAlignment="1" applyProtection="1">
      <alignment horizontal="left" wrapText="1"/>
      <protection locked="0"/>
    </xf>
    <xf numFmtId="0" fontId="19" fillId="7" borderId="0" xfId="0" applyFont="1" applyFill="1" applyBorder="1" applyAlignment="1">
      <alignment vertical="center"/>
    </xf>
    <xf numFmtId="0" fontId="86" fillId="7" borderId="0" xfId="0" applyFont="1" applyFill="1" applyAlignment="1">
      <alignment wrapText="1"/>
    </xf>
    <xf numFmtId="4" fontId="7" fillId="2" borderId="64" xfId="0" applyNumberFormat="1" applyFont="1" applyFill="1" applyBorder="1" applyProtection="1">
      <protection locked="0"/>
    </xf>
    <xf numFmtId="0" fontId="63" fillId="7" borderId="0" xfId="0" applyFont="1" applyFill="1" applyBorder="1" applyAlignment="1"/>
    <xf numFmtId="172" fontId="115" fillId="16" borderId="0" xfId="0" applyNumberFormat="1" applyFont="1" applyFill="1" applyBorder="1" applyAlignment="1">
      <alignment horizontal="center" wrapText="1"/>
    </xf>
    <xf numFmtId="9" fontId="92" fillId="16" borderId="2" xfId="1" applyFont="1" applyFill="1" applyBorder="1" applyProtection="1"/>
    <xf numFmtId="0" fontId="11" fillId="7" borderId="0" xfId="0" applyFont="1" applyFill="1" applyAlignment="1">
      <alignment horizontal="right"/>
    </xf>
    <xf numFmtId="0" fontId="19" fillId="7" borderId="74" xfId="0" applyFont="1" applyFill="1" applyBorder="1" applyAlignment="1">
      <alignment horizontal="center" vertical="center" wrapText="1"/>
    </xf>
    <xf numFmtId="0" fontId="7" fillId="7" borderId="0" xfId="0" applyFont="1" applyFill="1" applyAlignment="1">
      <alignment horizontal="center" vertical="center"/>
    </xf>
    <xf numFmtId="0" fontId="91" fillId="2" borderId="28" xfId="3" applyFont="1" applyFill="1" applyBorder="1" applyAlignment="1">
      <alignment horizontal="center" vertical="center" wrapText="1"/>
    </xf>
    <xf numFmtId="0" fontId="91" fillId="2" borderId="29" xfId="3" applyFont="1" applyFill="1" applyBorder="1" applyAlignment="1">
      <alignment horizontal="center" vertical="center" wrapText="1"/>
    </xf>
    <xf numFmtId="0" fontId="91" fillId="2" borderId="30" xfId="3" applyFont="1" applyFill="1" applyBorder="1" applyAlignment="1">
      <alignment horizontal="center" vertical="center" wrapText="1"/>
    </xf>
    <xf numFmtId="0" fontId="91" fillId="2" borderId="28" xfId="3" applyFont="1" applyFill="1" applyBorder="1" applyAlignment="1">
      <alignment horizontal="center" vertical="top" wrapText="1"/>
    </xf>
    <xf numFmtId="0" fontId="91" fillId="2" borderId="29" xfId="3" applyFont="1" applyFill="1" applyBorder="1" applyAlignment="1">
      <alignment horizontal="center" vertical="top" wrapText="1"/>
    </xf>
    <xf numFmtId="0" fontId="91" fillId="2" borderId="30" xfId="3" applyFont="1" applyFill="1" applyBorder="1" applyAlignment="1">
      <alignment horizontal="center" vertical="top" wrapText="1"/>
    </xf>
    <xf numFmtId="0" fontId="19" fillId="7" borderId="74" xfId="0" applyFont="1" applyFill="1" applyBorder="1" applyAlignment="1">
      <alignment horizontal="center" vertical="center"/>
    </xf>
    <xf numFmtId="0" fontId="133" fillId="7" borderId="0" xfId="3" applyFont="1" applyFill="1" applyBorder="1" applyAlignment="1">
      <alignment horizontal="left" vertical="top" wrapText="1"/>
    </xf>
    <xf numFmtId="0" fontId="7" fillId="7" borderId="4" xfId="0" applyFont="1" applyFill="1" applyBorder="1" applyAlignment="1" applyProtection="1">
      <alignment horizontal="left" wrapText="1"/>
    </xf>
    <xf numFmtId="0" fontId="9" fillId="3" borderId="4" xfId="0" applyFont="1" applyFill="1" applyBorder="1" applyAlignment="1" applyProtection="1">
      <alignment horizontal="left" vertical="center" wrapText="1"/>
    </xf>
    <xf numFmtId="167" fontId="9" fillId="8" borderId="5" xfId="0" applyNumberFormat="1" applyFont="1" applyFill="1" applyBorder="1" applyAlignment="1" applyProtection="1">
      <alignment horizontal="left" vertical="center" wrapText="1"/>
    </xf>
    <xf numFmtId="167" fontId="9" fillId="8" borderId="25" xfId="0" applyNumberFormat="1" applyFont="1" applyFill="1" applyBorder="1" applyAlignment="1" applyProtection="1">
      <alignment horizontal="left" vertical="center" wrapText="1"/>
    </xf>
    <xf numFmtId="167" fontId="9" fillId="8" borderId="26" xfId="0" applyNumberFormat="1" applyFont="1" applyFill="1" applyBorder="1" applyAlignment="1" applyProtection="1">
      <alignment horizontal="left" vertical="center" wrapText="1"/>
    </xf>
    <xf numFmtId="0" fontId="2" fillId="4" borderId="28" xfId="0" applyFont="1" applyFill="1" applyBorder="1" applyAlignment="1" applyProtection="1">
      <alignment horizontal="center" vertical="center" wrapText="1"/>
      <protection locked="0"/>
    </xf>
    <xf numFmtId="0" fontId="2" fillId="4" borderId="30" xfId="0" applyFont="1" applyFill="1" applyBorder="1" applyAlignment="1" applyProtection="1">
      <alignment horizontal="center" vertical="center"/>
      <protection locked="0"/>
    </xf>
    <xf numFmtId="0" fontId="2" fillId="7" borderId="0" xfId="0" applyFont="1" applyFill="1" applyBorder="1" applyAlignment="1" applyProtection="1">
      <alignment horizontal="center"/>
    </xf>
    <xf numFmtId="0" fontId="2" fillId="4" borderId="29" xfId="0" applyFont="1" applyFill="1" applyBorder="1" applyAlignment="1" applyProtection="1">
      <alignment horizontal="center" vertical="center"/>
      <protection locked="0"/>
    </xf>
    <xf numFmtId="0" fontId="2" fillId="4" borderId="29" xfId="0" applyFont="1" applyFill="1" applyBorder="1" applyAlignment="1" applyProtection="1">
      <alignment horizontal="center" vertical="center" wrapText="1"/>
      <protection locked="0"/>
    </xf>
    <xf numFmtId="0" fontId="2" fillId="4" borderId="30" xfId="0" applyFont="1" applyFill="1" applyBorder="1" applyAlignment="1" applyProtection="1">
      <alignment horizontal="center" vertical="center" wrapText="1"/>
      <protection locked="0"/>
    </xf>
    <xf numFmtId="0" fontId="73" fillId="7" borderId="74" xfId="0" applyFont="1" applyFill="1" applyBorder="1" applyAlignment="1" applyProtection="1">
      <alignment horizontal="center"/>
    </xf>
    <xf numFmtId="0" fontId="73" fillId="7" borderId="0" xfId="0" applyFont="1" applyFill="1" applyBorder="1" applyAlignment="1" applyProtection="1">
      <alignment horizontal="center"/>
    </xf>
    <xf numFmtId="0" fontId="2" fillId="7" borderId="0" xfId="0" applyFont="1" applyFill="1" applyAlignment="1" applyProtection="1">
      <alignment horizontal="center"/>
    </xf>
    <xf numFmtId="0" fontId="0" fillId="0" borderId="25" xfId="0" applyBorder="1" applyAlignment="1" applyProtection="1">
      <alignment horizontal="left" vertical="center" wrapText="1"/>
    </xf>
    <xf numFmtId="0" fontId="0" fillId="0" borderId="26" xfId="0" applyBorder="1" applyAlignment="1" applyProtection="1">
      <alignment horizontal="left" vertical="center" wrapText="1"/>
    </xf>
    <xf numFmtId="0" fontId="9" fillId="3" borderId="26" xfId="0" applyFont="1" applyFill="1" applyBorder="1" applyAlignment="1" applyProtection="1">
      <alignment horizontal="left" vertical="center" wrapText="1"/>
    </xf>
    <xf numFmtId="0" fontId="35" fillId="4" borderId="5" xfId="0" applyFont="1" applyFill="1" applyBorder="1" applyAlignment="1" applyProtection="1">
      <alignment horizontal="left" vertical="top" wrapText="1"/>
      <protection locked="0"/>
    </xf>
    <xf numFmtId="0" fontId="35" fillId="4" borderId="25" xfId="0" applyFont="1" applyFill="1" applyBorder="1" applyAlignment="1" applyProtection="1">
      <alignment horizontal="left" vertical="top" wrapText="1"/>
      <protection locked="0"/>
    </xf>
    <xf numFmtId="0" fontId="35" fillId="4" borderId="26" xfId="0" applyFont="1" applyFill="1" applyBorder="1" applyAlignment="1" applyProtection="1">
      <alignment horizontal="left" vertical="top" wrapText="1"/>
      <protection locked="0"/>
    </xf>
    <xf numFmtId="0" fontId="35" fillId="2" borderId="63" xfId="0" applyFont="1" applyFill="1" applyBorder="1" applyAlignment="1" applyProtection="1">
      <alignment horizontal="left"/>
      <protection locked="0"/>
    </xf>
    <xf numFmtId="0" fontId="35" fillId="2" borderId="64" xfId="0" applyFont="1" applyFill="1" applyBorder="1" applyAlignment="1" applyProtection="1">
      <alignment horizontal="left"/>
      <protection locked="0"/>
    </xf>
    <xf numFmtId="0" fontId="35" fillId="4" borderId="25" xfId="0" applyFont="1" applyFill="1" applyBorder="1" applyAlignment="1" applyProtection="1">
      <alignment horizontal="left" vertical="top"/>
      <protection locked="0"/>
    </xf>
    <xf numFmtId="0" fontId="35" fillId="4" borderId="26" xfId="0" applyFont="1" applyFill="1" applyBorder="1" applyAlignment="1" applyProtection="1">
      <alignment horizontal="left" vertical="top"/>
      <protection locked="0"/>
    </xf>
    <xf numFmtId="3" fontId="8" fillId="4" borderId="5" xfId="0" applyNumberFormat="1" applyFont="1" applyFill="1" applyBorder="1" applyAlignment="1" applyProtection="1">
      <alignment horizontal="left"/>
      <protection locked="0"/>
    </xf>
    <xf numFmtId="3" fontId="8" fillId="4" borderId="25" xfId="0" applyNumberFormat="1" applyFont="1" applyFill="1" applyBorder="1" applyAlignment="1" applyProtection="1">
      <alignment horizontal="left"/>
      <protection locked="0"/>
    </xf>
    <xf numFmtId="0" fontId="35" fillId="4" borderId="4" xfId="0" applyFont="1" applyFill="1" applyBorder="1" applyAlignment="1" applyProtection="1">
      <alignment horizontal="left" vertical="top" wrapText="1"/>
      <protection locked="0"/>
    </xf>
    <xf numFmtId="3" fontId="8" fillId="4" borderId="26" xfId="0" applyNumberFormat="1" applyFont="1" applyFill="1" applyBorder="1" applyAlignment="1" applyProtection="1">
      <alignment horizontal="left"/>
      <protection locked="0"/>
    </xf>
    <xf numFmtId="3" fontId="8" fillId="13" borderId="5" xfId="0" applyNumberFormat="1" applyFont="1" applyFill="1" applyBorder="1" applyAlignment="1" applyProtection="1">
      <alignment horizontal="left"/>
      <protection locked="0"/>
    </xf>
    <xf numFmtId="3" fontId="8" fillId="13" borderId="25" xfId="0" applyNumberFormat="1" applyFont="1" applyFill="1" applyBorder="1" applyAlignment="1" applyProtection="1">
      <alignment horizontal="left"/>
      <protection locked="0"/>
    </xf>
    <xf numFmtId="3" fontId="8" fillId="13" borderId="26" xfId="0" applyNumberFormat="1" applyFont="1" applyFill="1" applyBorder="1" applyAlignment="1" applyProtection="1">
      <alignment horizontal="left"/>
      <protection locked="0"/>
    </xf>
    <xf numFmtId="9" fontId="8" fillId="4" borderId="63" xfId="1" applyFont="1" applyFill="1" applyBorder="1" applyAlignment="1" applyProtection="1">
      <alignment horizontal="center"/>
      <protection locked="0"/>
    </xf>
    <xf numFmtId="9" fontId="8" fillId="4" borderId="64" xfId="1" applyFont="1" applyFill="1" applyBorder="1" applyAlignment="1" applyProtection="1">
      <alignment horizontal="center"/>
      <protection locked="0"/>
    </xf>
    <xf numFmtId="3" fontId="8" fillId="13" borderId="5" xfId="1" applyNumberFormat="1" applyFont="1" applyFill="1" applyBorder="1" applyAlignment="1" applyProtection="1">
      <alignment horizontal="center"/>
      <protection locked="0"/>
    </xf>
    <xf numFmtId="3" fontId="8" fillId="13" borderId="25" xfId="1" applyNumberFormat="1" applyFont="1" applyFill="1" applyBorder="1" applyAlignment="1" applyProtection="1">
      <alignment horizontal="center"/>
      <protection locked="0"/>
    </xf>
    <xf numFmtId="0" fontId="9" fillId="3" borderId="5" xfId="0" applyFont="1" applyFill="1" applyBorder="1" applyAlignment="1" applyProtection="1">
      <alignment horizontal="left" vertical="center" wrapText="1"/>
    </xf>
    <xf numFmtId="0" fontId="9" fillId="3" borderId="25" xfId="0" applyFont="1" applyFill="1" applyBorder="1" applyAlignment="1" applyProtection="1">
      <alignment horizontal="left" vertical="center" wrapText="1"/>
    </xf>
    <xf numFmtId="167" fontId="9" fillId="8" borderId="71" xfId="0" applyNumberFormat="1" applyFont="1" applyFill="1" applyBorder="1" applyAlignment="1" applyProtection="1">
      <alignment horizontal="left" vertical="center" wrapText="1"/>
    </xf>
    <xf numFmtId="167" fontId="9" fillId="8" borderId="34" xfId="0" applyNumberFormat="1" applyFont="1" applyFill="1" applyBorder="1" applyAlignment="1" applyProtection="1">
      <alignment horizontal="left" vertical="center" wrapText="1"/>
    </xf>
    <xf numFmtId="0" fontId="35" fillId="4" borderId="33" xfId="0" applyFont="1" applyFill="1" applyBorder="1" applyAlignment="1" applyProtection="1">
      <alignment horizontal="left" vertical="top" wrapText="1"/>
      <protection locked="0"/>
    </xf>
    <xf numFmtId="0" fontId="35" fillId="4" borderId="71" xfId="0" applyFont="1" applyFill="1" applyBorder="1" applyAlignment="1" applyProtection="1">
      <alignment horizontal="left" vertical="top"/>
      <protection locked="0"/>
    </xf>
    <xf numFmtId="0" fontId="35" fillId="4" borderId="34" xfId="0" applyFont="1" applyFill="1" applyBorder="1" applyAlignment="1" applyProtection="1">
      <alignment horizontal="left" vertical="top"/>
      <protection locked="0"/>
    </xf>
    <xf numFmtId="14" fontId="0" fillId="4" borderId="64" xfId="0" applyNumberFormat="1" applyFill="1" applyBorder="1" applyAlignment="1" applyProtection="1">
      <alignment horizontal="center"/>
      <protection locked="0"/>
    </xf>
    <xf numFmtId="0" fontId="35" fillId="4" borderId="71" xfId="0" applyFont="1" applyFill="1" applyBorder="1" applyAlignment="1" applyProtection="1">
      <alignment horizontal="left" vertical="top" wrapText="1"/>
      <protection locked="0"/>
    </xf>
    <xf numFmtId="0" fontId="37" fillId="4" borderId="63" xfId="0" applyFont="1" applyFill="1" applyBorder="1" applyAlignment="1" applyProtection="1">
      <alignment horizontal="left" vertical="top" wrapText="1"/>
      <protection locked="0"/>
    </xf>
    <xf numFmtId="0" fontId="37" fillId="4" borderId="64" xfId="0" applyFont="1" applyFill="1" applyBorder="1" applyAlignment="1" applyProtection="1">
      <alignment horizontal="left" vertical="top" wrapText="1"/>
      <protection locked="0"/>
    </xf>
    <xf numFmtId="3" fontId="31" fillId="2" borderId="49" xfId="0" applyNumberFormat="1" applyFont="1" applyFill="1" applyBorder="1" applyAlignment="1" applyProtection="1">
      <alignment horizontal="left" wrapText="1"/>
    </xf>
    <xf numFmtId="3" fontId="31" fillId="2" borderId="50" xfId="0" applyNumberFormat="1" applyFont="1" applyFill="1" applyBorder="1" applyAlignment="1" applyProtection="1">
      <alignment horizontal="left" wrapText="1"/>
    </xf>
    <xf numFmtId="0" fontId="9" fillId="3" borderId="31" xfId="0" applyFont="1" applyFill="1" applyBorder="1" applyAlignment="1" applyProtection="1">
      <alignment horizontal="left" vertical="center" wrapText="1"/>
    </xf>
    <xf numFmtId="0" fontId="9" fillId="3" borderId="0" xfId="0" applyFont="1" applyFill="1" applyBorder="1" applyAlignment="1" applyProtection="1">
      <alignment horizontal="left" vertical="center" wrapText="1"/>
    </xf>
    <xf numFmtId="0" fontId="9" fillId="3" borderId="113" xfId="0" applyFont="1" applyFill="1" applyBorder="1" applyAlignment="1" applyProtection="1">
      <alignment horizontal="left" vertical="center" wrapText="1"/>
    </xf>
    <xf numFmtId="3" fontId="8" fillId="4" borderId="0" xfId="0" applyNumberFormat="1" applyFont="1" applyFill="1" applyBorder="1" applyAlignment="1" applyProtection="1">
      <alignment horizontal="center" wrapText="1"/>
      <protection locked="0"/>
    </xf>
    <xf numFmtId="3" fontId="8" fillId="4" borderId="56" xfId="0" applyNumberFormat="1" applyFont="1" applyFill="1" applyBorder="1" applyAlignment="1" applyProtection="1">
      <alignment horizontal="center" wrapText="1"/>
      <protection locked="0"/>
    </xf>
    <xf numFmtId="3" fontId="31" fillId="2" borderId="51" xfId="0" applyNumberFormat="1" applyFont="1" applyFill="1" applyBorder="1" applyAlignment="1" applyProtection="1">
      <alignment horizontal="left" wrapText="1"/>
    </xf>
    <xf numFmtId="0" fontId="35" fillId="4" borderId="62" xfId="0" applyFont="1" applyFill="1" applyBorder="1" applyAlignment="1" applyProtection="1">
      <alignment horizontal="center" vertical="top" wrapText="1"/>
      <protection locked="0"/>
    </xf>
    <xf numFmtId="0" fontId="35" fillId="4" borderId="0" xfId="0" applyFont="1" applyFill="1" applyBorder="1" applyAlignment="1" applyProtection="1">
      <alignment horizontal="center" vertical="top" wrapText="1"/>
      <protection locked="0"/>
    </xf>
    <xf numFmtId="0" fontId="100" fillId="41" borderId="0" xfId="0" applyFont="1" applyFill="1" applyBorder="1" applyAlignment="1" applyProtection="1">
      <alignment horizontal="center" vertical="center" textRotation="90" wrapText="1"/>
    </xf>
    <xf numFmtId="0" fontId="35" fillId="4" borderId="31" xfId="0" applyFont="1" applyFill="1" applyBorder="1" applyAlignment="1" applyProtection="1">
      <alignment horizontal="center" vertical="top" wrapText="1"/>
      <protection locked="0"/>
    </xf>
    <xf numFmtId="0" fontId="7" fillId="6" borderId="0" xfId="0" applyFont="1" applyFill="1" applyBorder="1" applyAlignment="1" applyProtection="1">
      <alignment horizontal="center" vertical="center"/>
    </xf>
    <xf numFmtId="3" fontId="5" fillId="4" borderId="5" xfId="0" applyNumberFormat="1" applyFont="1" applyFill="1" applyBorder="1" applyAlignment="1" applyProtection="1">
      <alignment horizontal="left"/>
      <protection locked="0"/>
    </xf>
    <xf numFmtId="3" fontId="5" fillId="4" borderId="25" xfId="0" applyNumberFormat="1" applyFont="1" applyFill="1" applyBorder="1" applyAlignment="1" applyProtection="1">
      <alignment horizontal="left"/>
      <protection locked="0"/>
    </xf>
    <xf numFmtId="3" fontId="5" fillId="4" borderId="26" xfId="0" applyNumberFormat="1" applyFont="1" applyFill="1" applyBorder="1" applyAlignment="1" applyProtection="1">
      <alignment horizontal="left"/>
      <protection locked="0"/>
    </xf>
    <xf numFmtId="0" fontId="55" fillId="3" borderId="0" xfId="3" applyFont="1" applyFill="1" applyBorder="1" applyAlignment="1" applyProtection="1">
      <alignment horizontal="center"/>
    </xf>
    <xf numFmtId="0" fontId="7" fillId="6" borderId="28" xfId="0" applyFont="1" applyFill="1" applyBorder="1" applyAlignment="1" applyProtection="1">
      <alignment horizontal="center" vertical="center"/>
    </xf>
    <xf numFmtId="0" fontId="7" fillId="6" borderId="29" xfId="0" applyFont="1" applyFill="1" applyBorder="1" applyAlignment="1" applyProtection="1">
      <alignment horizontal="center" vertical="center"/>
    </xf>
    <xf numFmtId="0" fontId="7" fillId="6" borderId="30" xfId="0" applyFont="1" applyFill="1" applyBorder="1" applyAlignment="1" applyProtection="1">
      <alignment horizontal="center" vertical="center"/>
    </xf>
    <xf numFmtId="0" fontId="7" fillId="10" borderId="42" xfId="0" applyFont="1" applyFill="1" applyBorder="1" applyAlignment="1" applyProtection="1">
      <alignment horizontal="center"/>
    </xf>
    <xf numFmtId="0" fontId="7" fillId="10" borderId="43" xfId="0" applyFont="1" applyFill="1" applyBorder="1" applyAlignment="1" applyProtection="1">
      <alignment horizontal="center"/>
    </xf>
    <xf numFmtId="0" fontId="7" fillId="10" borderId="44" xfId="0" applyFont="1" applyFill="1" applyBorder="1" applyAlignment="1" applyProtection="1">
      <alignment horizontal="center"/>
    </xf>
    <xf numFmtId="0" fontId="3" fillId="3" borderId="0" xfId="0" applyFont="1" applyFill="1" applyBorder="1" applyAlignment="1" applyProtection="1">
      <alignment horizontal="center"/>
    </xf>
    <xf numFmtId="0" fontId="7" fillId="6" borderId="49" xfId="0" applyFont="1" applyFill="1" applyBorder="1" applyAlignment="1" applyProtection="1">
      <alignment horizontal="center" vertical="center"/>
    </xf>
    <xf numFmtId="0" fontId="7" fillId="6" borderId="134" xfId="0" applyFont="1" applyFill="1" applyBorder="1" applyAlignment="1" applyProtection="1">
      <alignment horizontal="center" vertical="center"/>
    </xf>
    <xf numFmtId="0" fontId="7" fillId="6" borderId="51" xfId="0" applyFont="1" applyFill="1" applyBorder="1" applyAlignment="1" applyProtection="1">
      <alignment horizontal="center" vertical="center"/>
    </xf>
    <xf numFmtId="3" fontId="63" fillId="4" borderId="5" xfId="0" applyNumberFormat="1" applyFont="1" applyFill="1" applyBorder="1" applyAlignment="1" applyProtection="1">
      <alignment horizontal="center"/>
      <protection locked="0"/>
    </xf>
    <xf numFmtId="3" fontId="63" fillId="4" borderId="25" xfId="0" applyNumberFormat="1" applyFont="1" applyFill="1" applyBorder="1" applyAlignment="1" applyProtection="1">
      <alignment horizontal="center"/>
      <protection locked="0"/>
    </xf>
    <xf numFmtId="3" fontId="63" fillId="4" borderId="26" xfId="0" applyNumberFormat="1" applyFont="1" applyFill="1" applyBorder="1" applyAlignment="1" applyProtection="1">
      <alignment horizontal="center"/>
      <protection locked="0"/>
    </xf>
    <xf numFmtId="10" fontId="22" fillId="16" borderId="133" xfId="0" applyNumberFormat="1" applyFont="1" applyFill="1" applyBorder="1" applyAlignment="1" applyProtection="1">
      <alignment horizontal="left" vertical="top" wrapText="1"/>
    </xf>
    <xf numFmtId="0" fontId="21" fillId="16" borderId="60" xfId="0" applyFont="1" applyFill="1" applyBorder="1" applyAlignment="1" applyProtection="1">
      <alignment horizontal="left" wrapText="1"/>
    </xf>
    <xf numFmtId="0" fontId="21" fillId="16" borderId="0" xfId="0" applyFont="1" applyFill="1" applyBorder="1" applyAlignment="1" applyProtection="1">
      <alignment horizontal="left" wrapText="1"/>
    </xf>
    <xf numFmtId="0" fontId="11" fillId="6" borderId="0" xfId="0" applyFont="1" applyFill="1" applyBorder="1" applyAlignment="1" applyProtection="1">
      <alignment horizontal="center" vertical="center"/>
    </xf>
    <xf numFmtId="0" fontId="11" fillId="10" borderId="42" xfId="0" applyFont="1" applyFill="1" applyBorder="1" applyAlignment="1" applyProtection="1">
      <alignment horizontal="center"/>
    </xf>
    <xf numFmtId="0" fontId="11" fillId="10" borderId="43" xfId="0" applyFont="1" applyFill="1" applyBorder="1" applyAlignment="1" applyProtection="1">
      <alignment horizontal="center"/>
    </xf>
    <xf numFmtId="0" fontId="11" fillId="10" borderId="44" xfId="0" applyFont="1" applyFill="1" applyBorder="1" applyAlignment="1" applyProtection="1">
      <alignment horizontal="center"/>
    </xf>
    <xf numFmtId="0" fontId="19" fillId="23" borderId="105" xfId="0" applyFont="1" applyFill="1" applyBorder="1" applyAlignment="1" applyProtection="1">
      <alignment horizontal="center" vertical="center" textRotation="90"/>
    </xf>
    <xf numFmtId="0" fontId="19" fillId="23" borderId="106" xfId="0" applyFont="1" applyFill="1" applyBorder="1" applyAlignment="1" applyProtection="1">
      <alignment horizontal="center" vertical="center" textRotation="90"/>
    </xf>
    <xf numFmtId="0" fontId="19" fillId="23" borderId="107" xfId="0" applyFont="1" applyFill="1" applyBorder="1" applyAlignment="1" applyProtection="1">
      <alignment horizontal="center" vertical="center" textRotation="90"/>
    </xf>
    <xf numFmtId="0" fontId="19" fillId="23" borderId="105" xfId="0" applyFont="1" applyFill="1" applyBorder="1" applyAlignment="1" applyProtection="1">
      <alignment horizontal="center" vertical="center" textRotation="90" wrapText="1"/>
    </xf>
    <xf numFmtId="0" fontId="19" fillId="23" borderId="106" xfId="0" applyFont="1" applyFill="1" applyBorder="1" applyAlignment="1" applyProtection="1">
      <alignment horizontal="center" vertical="center" textRotation="90" wrapText="1"/>
    </xf>
    <xf numFmtId="0" fontId="19" fillId="23" borderId="107" xfId="0" applyFont="1" applyFill="1" applyBorder="1" applyAlignment="1" applyProtection="1">
      <alignment horizontal="center" vertical="center" textRotation="90" wrapText="1"/>
    </xf>
    <xf numFmtId="0" fontId="7" fillId="6" borderId="31" xfId="0" applyFont="1" applyFill="1" applyBorder="1" applyAlignment="1" applyProtection="1">
      <alignment horizontal="center" vertical="center"/>
    </xf>
    <xf numFmtId="0" fontId="35" fillId="2" borderId="31" xfId="0" applyFont="1" applyFill="1" applyBorder="1" applyAlignment="1" applyProtection="1">
      <alignment horizontal="left" vertical="top" wrapText="1"/>
      <protection hidden="1"/>
    </xf>
    <xf numFmtId="0" fontId="35" fillId="2" borderId="0" xfId="0" applyFont="1" applyFill="1" applyBorder="1" applyAlignment="1" applyProtection="1">
      <alignment horizontal="left" vertical="top" wrapText="1"/>
      <protection hidden="1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3" borderId="71" xfId="0" applyFont="1" applyFill="1" applyBorder="1" applyAlignment="1" applyProtection="1">
      <alignment horizontal="center" vertical="center" wrapText="1"/>
    </xf>
    <xf numFmtId="0" fontId="19" fillId="7" borderId="0" xfId="0" applyFont="1" applyFill="1" applyAlignment="1" applyProtection="1">
      <alignment horizontal="center"/>
    </xf>
    <xf numFmtId="0" fontId="19" fillId="7" borderId="0" xfId="0" applyFont="1" applyFill="1" applyAlignment="1">
      <alignment horizontal="center"/>
    </xf>
    <xf numFmtId="0" fontId="19" fillId="10" borderId="0" xfId="0" applyFont="1" applyFill="1" applyAlignment="1">
      <alignment horizontal="center"/>
    </xf>
    <xf numFmtId="0" fontId="7" fillId="4" borderId="0" xfId="0" applyFont="1" applyFill="1" applyAlignment="1">
      <alignment horizontal="left" wrapText="1"/>
    </xf>
    <xf numFmtId="0" fontId="20" fillId="8" borderId="38" xfId="0" applyFont="1" applyFill="1" applyBorder="1" applyAlignment="1">
      <alignment horizontal="center"/>
    </xf>
    <xf numFmtId="0" fontId="21" fillId="11" borderId="38" xfId="0" applyFont="1" applyFill="1" applyBorder="1" applyAlignment="1">
      <alignment horizontal="center"/>
    </xf>
    <xf numFmtId="0" fontId="9" fillId="8" borderId="38" xfId="0" applyFont="1" applyFill="1" applyBorder="1" applyAlignment="1">
      <alignment horizontal="center"/>
    </xf>
    <xf numFmtId="0" fontId="11" fillId="24" borderId="0" xfId="0" applyFont="1" applyFill="1" applyAlignment="1">
      <alignment horizontal="center"/>
    </xf>
    <xf numFmtId="0" fontId="3" fillId="3" borderId="66" xfId="0" applyFont="1" applyFill="1" applyBorder="1" applyAlignment="1">
      <alignment horizontal="center" vertical="center" wrapText="1"/>
    </xf>
    <xf numFmtId="0" fontId="3" fillId="3" borderId="67" xfId="0" applyFont="1" applyFill="1" applyBorder="1" applyAlignment="1">
      <alignment horizontal="center" vertical="center" wrapText="1"/>
    </xf>
    <xf numFmtId="184" fontId="3" fillId="8" borderId="131" xfId="0" applyNumberFormat="1" applyFont="1" applyFill="1" applyBorder="1" applyAlignment="1" applyProtection="1">
      <alignment horizontal="center" vertical="center"/>
    </xf>
    <xf numFmtId="184" fontId="3" fillId="8" borderId="132" xfId="0" applyNumberFormat="1" applyFont="1" applyFill="1" applyBorder="1" applyAlignment="1" applyProtection="1">
      <alignment horizontal="center" vertical="center"/>
    </xf>
    <xf numFmtId="0" fontId="7" fillId="7" borderId="0" xfId="0" applyFont="1" applyFill="1" applyAlignment="1">
      <alignment horizontal="center"/>
    </xf>
    <xf numFmtId="0" fontId="7" fillId="10" borderId="49" xfId="0" applyFont="1" applyFill="1" applyBorder="1" applyAlignment="1">
      <alignment horizontal="center"/>
    </xf>
    <xf numFmtId="0" fontId="7" fillId="10" borderId="50" xfId="0" applyFont="1" applyFill="1" applyBorder="1" applyAlignment="1">
      <alignment horizontal="center"/>
    </xf>
    <xf numFmtId="0" fontId="7" fillId="10" borderId="51" xfId="0" applyFont="1" applyFill="1" applyBorder="1" applyAlignment="1">
      <alignment horizontal="center"/>
    </xf>
    <xf numFmtId="0" fontId="7" fillId="7" borderId="50" xfId="0" applyFont="1" applyFill="1" applyBorder="1" applyAlignment="1">
      <alignment horizontal="center"/>
    </xf>
    <xf numFmtId="0" fontId="7" fillId="7" borderId="51" xfId="0" applyFont="1" applyFill="1" applyBorder="1" applyAlignment="1">
      <alignment horizontal="center"/>
    </xf>
    <xf numFmtId="49" fontId="39" fillId="2" borderId="140" xfId="0" applyNumberFormat="1" applyFont="1" applyFill="1" applyBorder="1" applyAlignment="1" applyProtection="1">
      <alignment horizontal="left" vertical="top" wrapText="1"/>
    </xf>
    <xf numFmtId="49" fontId="39" fillId="2" borderId="43" xfId="0" applyNumberFormat="1" applyFont="1" applyFill="1" applyBorder="1" applyAlignment="1" applyProtection="1">
      <alignment horizontal="left" vertical="top" wrapText="1"/>
    </xf>
    <xf numFmtId="49" fontId="39" fillId="2" borderId="141" xfId="0" applyNumberFormat="1" applyFont="1" applyFill="1" applyBorder="1" applyAlignment="1" applyProtection="1">
      <alignment horizontal="left" vertical="top" wrapText="1"/>
    </xf>
    <xf numFmtId="0" fontId="31" fillId="43" borderId="0" xfId="0" applyFont="1" applyFill="1" applyBorder="1" applyAlignment="1">
      <alignment horizontal="center" vertical="center" textRotation="90"/>
    </xf>
    <xf numFmtId="0" fontId="31" fillId="43" borderId="0" xfId="0" applyFont="1" applyFill="1" applyBorder="1" applyAlignment="1">
      <alignment horizontal="center" vertical="center" textRotation="90" wrapText="1"/>
    </xf>
    <xf numFmtId="0" fontId="74" fillId="16" borderId="138" xfId="0" applyFont="1" applyFill="1" applyBorder="1" applyAlignment="1">
      <alignment horizontal="left"/>
    </xf>
    <xf numFmtId="0" fontId="125" fillId="16" borderId="0" xfId="0" applyFont="1" applyFill="1" applyBorder="1" applyAlignment="1">
      <alignment horizontal="left" wrapText="1"/>
    </xf>
    <xf numFmtId="0" fontId="125" fillId="16" borderId="139" xfId="0" applyFont="1" applyFill="1" applyBorder="1" applyAlignment="1">
      <alignment horizontal="left" wrapText="1"/>
    </xf>
    <xf numFmtId="0" fontId="74" fillId="16" borderId="137" xfId="0" applyFont="1" applyFill="1" applyBorder="1" applyAlignment="1">
      <alignment horizontal="left"/>
    </xf>
    <xf numFmtId="0" fontId="22" fillId="2" borderId="28" xfId="0" applyFont="1" applyFill="1" applyBorder="1" applyAlignment="1" applyProtection="1">
      <alignment horizontal="center" vertical="center" wrapText="1"/>
      <protection locked="0"/>
    </xf>
    <xf numFmtId="0" fontId="22" fillId="2" borderId="29" xfId="0" applyFont="1" applyFill="1" applyBorder="1" applyAlignment="1" applyProtection="1">
      <alignment horizontal="center" vertical="center"/>
      <protection locked="0"/>
    </xf>
    <xf numFmtId="0" fontId="22" fillId="2" borderId="30" xfId="0" applyFont="1" applyFill="1" applyBorder="1" applyAlignment="1" applyProtection="1">
      <alignment horizontal="center" vertical="center"/>
      <protection locked="0"/>
    </xf>
    <xf numFmtId="0" fontId="22" fillId="2" borderId="29" xfId="0" applyFont="1" applyFill="1" applyBorder="1" applyAlignment="1" applyProtection="1">
      <alignment horizontal="center" vertical="center" wrapText="1"/>
      <protection locked="0"/>
    </xf>
    <xf numFmtId="0" fontId="22" fillId="2" borderId="30" xfId="0" applyFont="1" applyFill="1" applyBorder="1" applyAlignment="1" applyProtection="1">
      <alignment horizontal="center" vertical="center" wrapText="1"/>
      <protection locked="0"/>
    </xf>
    <xf numFmtId="167" fontId="22" fillId="2" borderId="25" xfId="0" applyNumberFormat="1" applyFont="1" applyFill="1" applyBorder="1" applyAlignment="1" applyProtection="1">
      <alignment horizontal="left" vertical="center" wrapText="1"/>
      <protection locked="0"/>
    </xf>
    <xf numFmtId="49" fontId="39" fillId="2" borderId="129" xfId="0" applyNumberFormat="1" applyFont="1" applyFill="1" applyBorder="1" applyAlignment="1" applyProtection="1">
      <alignment horizontal="left" vertical="center" wrapText="1"/>
    </xf>
    <xf numFmtId="49" fontId="39" fillId="2" borderId="129" xfId="0" applyNumberFormat="1" applyFont="1" applyFill="1" applyBorder="1" applyAlignment="1" applyProtection="1">
      <alignment horizontal="left" vertical="center"/>
    </xf>
    <xf numFmtId="173" fontId="111" fillId="2" borderId="0" xfId="0" applyNumberFormat="1" applyFont="1" applyFill="1" applyBorder="1" applyAlignment="1" applyProtection="1">
      <alignment horizontal="left" vertical="center" wrapText="1"/>
    </xf>
    <xf numFmtId="0" fontId="22" fillId="37" borderId="0" xfId="0" applyFont="1" applyFill="1" applyBorder="1" applyAlignment="1" applyProtection="1">
      <alignment horizontal="left" vertical="center" wrapText="1"/>
    </xf>
    <xf numFmtId="3" fontId="93" fillId="37" borderId="0" xfId="0" applyNumberFormat="1" applyFont="1" applyFill="1" applyBorder="1" applyAlignment="1" applyProtection="1">
      <alignment horizontal="center" vertical="center" wrapText="1"/>
    </xf>
    <xf numFmtId="0" fontId="93" fillId="37" borderId="0" xfId="0" applyFont="1" applyFill="1" applyBorder="1" applyAlignment="1" applyProtection="1">
      <alignment horizontal="center" vertical="center" wrapText="1"/>
    </xf>
    <xf numFmtId="0" fontId="39" fillId="2" borderId="129" xfId="0" applyNumberFormat="1" applyFont="1" applyFill="1" applyBorder="1" applyAlignment="1" applyProtection="1">
      <alignment horizontal="left" vertical="center" wrapText="1"/>
    </xf>
    <xf numFmtId="167" fontId="22" fillId="2" borderId="71" xfId="0" applyNumberFormat="1" applyFont="1" applyFill="1" applyBorder="1" applyAlignment="1" applyProtection="1">
      <alignment horizontal="left" vertical="center" wrapText="1"/>
      <protection locked="0"/>
    </xf>
    <xf numFmtId="0" fontId="22" fillId="44" borderId="0" xfId="0" applyFont="1" applyFill="1" applyBorder="1" applyAlignment="1" applyProtection="1">
      <alignment horizontal="left" vertical="center"/>
    </xf>
    <xf numFmtId="49" fontId="39" fillId="2" borderId="140" xfId="0" applyNumberFormat="1" applyFont="1" applyFill="1" applyBorder="1" applyAlignment="1" applyProtection="1">
      <alignment horizontal="center" vertical="center" wrapText="1"/>
    </xf>
    <xf numFmtId="49" fontId="39" fillId="2" borderId="43" xfId="0" applyNumberFormat="1" applyFont="1" applyFill="1" applyBorder="1" applyAlignment="1" applyProtection="1">
      <alignment horizontal="center" vertical="center" wrapText="1"/>
    </xf>
    <xf numFmtId="49" fontId="39" fillId="2" borderId="141" xfId="0" applyNumberFormat="1" applyFont="1" applyFill="1" applyBorder="1" applyAlignment="1" applyProtection="1">
      <alignment horizontal="center" vertical="center" wrapText="1"/>
    </xf>
    <xf numFmtId="0" fontId="39" fillId="2" borderId="135" xfId="0" applyFont="1" applyFill="1" applyBorder="1" applyAlignment="1" applyProtection="1">
      <alignment horizontal="center" vertical="top" wrapText="1"/>
    </xf>
    <xf numFmtId="0" fontId="22" fillId="2" borderId="74" xfId="0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22" fillId="2" borderId="0" xfId="0" applyFont="1" applyFill="1" applyAlignment="1" applyProtection="1">
      <alignment horizontal="center"/>
    </xf>
    <xf numFmtId="0" fontId="22" fillId="2" borderId="29" xfId="0" applyFont="1" applyFill="1" applyBorder="1" applyAlignment="1" applyProtection="1">
      <alignment horizontal="center"/>
    </xf>
    <xf numFmtId="0" fontId="31" fillId="16" borderId="0" xfId="0" applyFont="1" applyFill="1" applyBorder="1" applyAlignment="1">
      <alignment horizontal="center"/>
    </xf>
    <xf numFmtId="165" fontId="39" fillId="16" borderId="0" xfId="0" applyNumberFormat="1" applyFont="1" applyFill="1" applyAlignment="1">
      <alignment horizontal="center" vertical="center"/>
    </xf>
    <xf numFmtId="0" fontId="74" fillId="16" borderId="0" xfId="0" applyFont="1" applyFill="1" applyBorder="1" applyAlignment="1">
      <alignment horizontal="left"/>
    </xf>
    <xf numFmtId="0" fontId="125" fillId="16" borderId="137" xfId="0" applyFont="1" applyFill="1" applyBorder="1" applyAlignment="1">
      <alignment horizontal="left" wrapText="1"/>
    </xf>
    <xf numFmtId="0" fontId="22" fillId="37" borderId="0" xfId="0" applyFont="1" applyFill="1" applyBorder="1" applyAlignment="1" applyProtection="1">
      <alignment horizontal="center" vertical="center" wrapText="1"/>
    </xf>
    <xf numFmtId="0" fontId="92" fillId="16" borderId="0" xfId="0" applyFont="1" applyFill="1" applyBorder="1" applyAlignment="1" applyProtection="1">
      <alignment vertical="center" wrapText="1"/>
    </xf>
    <xf numFmtId="0" fontId="49" fillId="16" borderId="0" xfId="0" applyFont="1" applyFill="1" applyBorder="1" applyAlignment="1" applyProtection="1">
      <alignment horizontal="left" vertical="center" wrapText="1"/>
    </xf>
    <xf numFmtId="0" fontId="39" fillId="2" borderId="73" xfId="0" applyFont="1" applyFill="1" applyBorder="1" applyAlignment="1" applyProtection="1">
      <alignment horizontal="center" vertical="top" wrapText="1"/>
      <protection locked="0"/>
    </xf>
    <xf numFmtId="0" fontId="39" fillId="2" borderId="128" xfId="0" applyFont="1" applyFill="1" applyBorder="1" applyAlignment="1" applyProtection="1">
      <alignment horizontal="center"/>
      <protection locked="0"/>
    </xf>
    <xf numFmtId="174" fontId="22" fillId="2" borderId="135" xfId="0" applyNumberFormat="1" applyFont="1" applyFill="1" applyBorder="1" applyAlignment="1" applyProtection="1">
      <alignment horizontal="center"/>
    </xf>
    <xf numFmtId="0" fontId="39" fillId="2" borderId="0" xfId="0" applyFont="1" applyFill="1" applyBorder="1" applyAlignment="1" applyProtection="1">
      <alignment horizontal="center" vertical="top" wrapText="1"/>
    </xf>
    <xf numFmtId="0" fontId="22" fillId="37" borderId="108" xfId="0" applyFont="1" applyFill="1" applyBorder="1" applyAlignment="1" applyProtection="1">
      <alignment horizontal="center" vertical="center" wrapText="1"/>
    </xf>
    <xf numFmtId="0" fontId="31" fillId="37" borderId="0" xfId="0" applyFont="1" applyFill="1" applyBorder="1" applyAlignment="1">
      <alignment horizontal="left" vertical="center"/>
    </xf>
    <xf numFmtId="0" fontId="111" fillId="2" borderId="140" xfId="0" applyNumberFormat="1" applyFont="1" applyFill="1" applyBorder="1" applyAlignment="1">
      <alignment horizontal="left" vertical="center" wrapText="1"/>
    </xf>
    <xf numFmtId="0" fontId="111" fillId="2" borderId="43" xfId="0" applyNumberFormat="1" applyFont="1" applyFill="1" applyBorder="1" applyAlignment="1">
      <alignment horizontal="left" vertical="center" wrapText="1"/>
    </xf>
    <xf numFmtId="0" fontId="111" fillId="2" borderId="141" xfId="0" applyNumberFormat="1" applyFont="1" applyFill="1" applyBorder="1" applyAlignment="1">
      <alignment horizontal="left" vertical="center" wrapText="1"/>
    </xf>
    <xf numFmtId="0" fontId="111" fillId="2" borderId="73" xfId="0" applyNumberFormat="1" applyFont="1" applyFill="1" applyBorder="1" applyAlignment="1">
      <alignment horizontal="left" vertical="center" wrapText="1"/>
    </xf>
    <xf numFmtId="0" fontId="77" fillId="2" borderId="28" xfId="0" applyFont="1" applyFill="1" applyBorder="1" applyAlignment="1" applyProtection="1">
      <alignment horizontal="center" vertical="center" wrapText="1"/>
      <protection locked="0"/>
    </xf>
    <xf numFmtId="0" fontId="77" fillId="2" borderId="29" xfId="0" applyFont="1" applyFill="1" applyBorder="1" applyAlignment="1" applyProtection="1">
      <alignment horizontal="center" vertical="center"/>
      <protection locked="0"/>
    </xf>
    <xf numFmtId="0" fontId="77" fillId="2" borderId="30" xfId="0" applyFont="1" applyFill="1" applyBorder="1" applyAlignment="1" applyProtection="1">
      <alignment horizontal="center" vertical="center"/>
      <protection locked="0"/>
    </xf>
    <xf numFmtId="0" fontId="77" fillId="2" borderId="29" xfId="0" applyFont="1" applyFill="1" applyBorder="1" applyAlignment="1" applyProtection="1">
      <alignment horizontal="center" vertical="center" wrapText="1"/>
      <protection locked="0"/>
    </xf>
    <xf numFmtId="0" fontId="77" fillId="2" borderId="30" xfId="0" applyFont="1" applyFill="1" applyBorder="1" applyAlignment="1" applyProtection="1">
      <alignment horizontal="center" vertical="center" wrapText="1"/>
      <protection locked="0"/>
    </xf>
    <xf numFmtId="0" fontId="121" fillId="16" borderId="143" xfId="0" applyFont="1" applyFill="1" applyBorder="1" applyAlignment="1">
      <alignment horizontal="left"/>
    </xf>
    <xf numFmtId="0" fontId="21" fillId="43" borderId="0" xfId="0" applyFont="1" applyFill="1" applyBorder="1" applyAlignment="1">
      <alignment horizontal="center" vertical="center" textRotation="90"/>
    </xf>
    <xf numFmtId="0" fontId="125" fillId="16" borderId="142" xfId="0" applyFont="1" applyFill="1" applyBorder="1" applyAlignment="1">
      <alignment horizontal="left" wrapText="1"/>
    </xf>
    <xf numFmtId="0" fontId="121" fillId="16" borderId="142" xfId="0" applyFont="1" applyFill="1" applyBorder="1" applyAlignment="1">
      <alignment horizontal="left"/>
    </xf>
    <xf numFmtId="0" fontId="125" fillId="16" borderId="143" xfId="0" applyFont="1" applyFill="1" applyBorder="1" applyAlignment="1">
      <alignment horizontal="left" wrapText="1"/>
    </xf>
    <xf numFmtId="3" fontId="42" fillId="4" borderId="5" xfId="0" applyNumberFormat="1" applyFont="1" applyFill="1" applyBorder="1" applyAlignment="1" applyProtection="1">
      <alignment horizontal="center"/>
      <protection locked="0"/>
    </xf>
    <xf numFmtId="3" fontId="42" fillId="4" borderId="26" xfId="0" applyNumberFormat="1" applyFont="1" applyFill="1" applyBorder="1" applyAlignment="1" applyProtection="1">
      <alignment horizontal="center"/>
      <protection locked="0"/>
    </xf>
    <xf numFmtId="0" fontId="53" fillId="3" borderId="66" xfId="0" applyFont="1" applyFill="1" applyBorder="1" applyAlignment="1">
      <alignment horizontal="center" vertical="center" wrapText="1"/>
    </xf>
    <xf numFmtId="0" fontId="53" fillId="3" borderId="67" xfId="0" applyFont="1" applyFill="1" applyBorder="1" applyAlignment="1">
      <alignment horizontal="center" vertical="center" wrapText="1"/>
    </xf>
    <xf numFmtId="0" fontId="42" fillId="9" borderId="5" xfId="0" applyFont="1" applyFill="1" applyBorder="1" applyAlignment="1">
      <alignment horizontal="left" vertical="top"/>
    </xf>
    <xf numFmtId="0" fontId="42" fillId="9" borderId="25" xfId="0" applyFont="1" applyFill="1" applyBorder="1" applyAlignment="1">
      <alignment horizontal="left" vertical="top"/>
    </xf>
    <xf numFmtId="0" fontId="42" fillId="9" borderId="26" xfId="0" applyFont="1" applyFill="1" applyBorder="1" applyAlignment="1">
      <alignment horizontal="left" vertical="top"/>
    </xf>
    <xf numFmtId="3" fontId="42" fillId="9" borderId="5" xfId="0" applyNumberFormat="1" applyFont="1" applyFill="1" applyBorder="1" applyAlignment="1">
      <alignment horizontal="left" vertical="top" wrapText="1"/>
    </xf>
    <xf numFmtId="0" fontId="42" fillId="9" borderId="25" xfId="0" applyFont="1" applyFill="1" applyBorder="1" applyAlignment="1">
      <alignment horizontal="left" vertical="top" wrapText="1"/>
    </xf>
    <xf numFmtId="0" fontId="42" fillId="9" borderId="26" xfId="0" applyFont="1" applyFill="1" applyBorder="1" applyAlignment="1">
      <alignment horizontal="left" vertical="top" wrapText="1"/>
    </xf>
    <xf numFmtId="3" fontId="74" fillId="9" borderId="5" xfId="0" applyNumberFormat="1" applyFont="1" applyFill="1" applyBorder="1" applyAlignment="1">
      <alignment horizontal="left" vertical="top" wrapText="1"/>
    </xf>
    <xf numFmtId="0" fontId="74" fillId="9" borderId="25" xfId="0" applyFont="1" applyFill="1" applyBorder="1" applyAlignment="1">
      <alignment horizontal="left" vertical="top" wrapText="1"/>
    </xf>
    <xf numFmtId="0" fontId="74" fillId="9" borderId="26" xfId="0" applyFont="1" applyFill="1" applyBorder="1" applyAlignment="1">
      <alignment horizontal="left" vertical="top" wrapText="1"/>
    </xf>
    <xf numFmtId="171" fontId="41" fillId="8" borderId="33" xfId="0" applyNumberFormat="1" applyFont="1" applyFill="1" applyBorder="1" applyAlignment="1" applyProtection="1">
      <alignment horizontal="center" vertical="center" wrapText="1"/>
      <protection locked="0"/>
    </xf>
    <xf numFmtId="171" fontId="41" fillId="8" borderId="71" xfId="0" applyNumberFormat="1" applyFont="1" applyFill="1" applyBorder="1" applyAlignment="1" applyProtection="1">
      <alignment horizontal="center" vertical="center" wrapText="1"/>
      <protection locked="0"/>
    </xf>
    <xf numFmtId="171" fontId="41" fillId="8" borderId="34" xfId="0" applyNumberFormat="1" applyFont="1" applyFill="1" applyBorder="1" applyAlignment="1" applyProtection="1">
      <alignment horizontal="center" vertical="center" wrapText="1"/>
      <protection locked="0"/>
    </xf>
    <xf numFmtId="171" fontId="41" fillId="8" borderId="5" xfId="0" applyNumberFormat="1" applyFont="1" applyFill="1" applyBorder="1" applyAlignment="1" applyProtection="1">
      <alignment horizontal="left" vertical="center" wrapText="1"/>
      <protection locked="0"/>
    </xf>
    <xf numFmtId="171" fontId="41" fillId="8" borderId="25" xfId="0" applyNumberFormat="1" applyFont="1" applyFill="1" applyBorder="1" applyAlignment="1" applyProtection="1">
      <alignment horizontal="left" vertical="center" wrapText="1"/>
      <protection locked="0"/>
    </xf>
    <xf numFmtId="171" fontId="41" fillId="8" borderId="26" xfId="0" applyNumberFormat="1" applyFont="1" applyFill="1" applyBorder="1" applyAlignment="1" applyProtection="1">
      <alignment horizontal="left" vertical="center" wrapText="1"/>
      <protection locked="0"/>
    </xf>
    <xf numFmtId="3" fontId="42" fillId="4" borderId="62" xfId="0" applyNumberFormat="1" applyFont="1" applyFill="1" applyBorder="1" applyAlignment="1" applyProtection="1">
      <alignment horizontal="left"/>
      <protection locked="0"/>
    </xf>
    <xf numFmtId="3" fontId="42" fillId="4" borderId="0" xfId="0" applyNumberFormat="1" applyFont="1" applyFill="1" applyBorder="1" applyAlignment="1" applyProtection="1">
      <alignment horizontal="left"/>
      <protection locked="0"/>
    </xf>
    <xf numFmtId="0" fontId="135" fillId="9" borderId="0" xfId="0" applyFont="1" applyFill="1" applyAlignment="1">
      <alignment horizontal="center" vertical="center"/>
    </xf>
    <xf numFmtId="0" fontId="43" fillId="9" borderId="0" xfId="0" applyFont="1" applyFill="1" applyAlignment="1">
      <alignment horizontal="center" vertical="center" wrapText="1"/>
    </xf>
    <xf numFmtId="3" fontId="42" fillId="9" borderId="0" xfId="0" applyNumberFormat="1" applyFont="1" applyFill="1" applyAlignment="1">
      <alignment horizontal="left" vertical="top" wrapText="1"/>
    </xf>
    <xf numFmtId="0" fontId="42" fillId="9" borderId="5" xfId="0" applyFont="1" applyFill="1" applyBorder="1" applyAlignment="1">
      <alignment horizontal="left" vertical="top" wrapText="1"/>
    </xf>
    <xf numFmtId="0" fontId="42" fillId="9" borderId="63" xfId="0" applyFont="1" applyFill="1" applyBorder="1" applyAlignment="1">
      <alignment horizontal="left" vertical="top" wrapText="1"/>
    </xf>
    <xf numFmtId="0" fontId="42" fillId="9" borderId="64" xfId="0" applyFont="1" applyFill="1" applyBorder="1" applyAlignment="1">
      <alignment horizontal="left" vertical="top" wrapText="1"/>
    </xf>
    <xf numFmtId="14" fontId="42" fillId="9" borderId="0" xfId="0" applyNumberFormat="1" applyFont="1" applyFill="1" applyAlignment="1">
      <alignment horizontal="center"/>
    </xf>
    <xf numFmtId="0" fontId="42" fillId="9" borderId="0" xfId="0" applyFont="1" applyFill="1" applyAlignment="1">
      <alignment vertical="center" wrapText="1"/>
    </xf>
    <xf numFmtId="0" fontId="41" fillId="3" borderId="0" xfId="0" applyFont="1" applyFill="1" applyBorder="1" applyAlignment="1">
      <alignment horizontal="center"/>
    </xf>
    <xf numFmtId="0" fontId="46" fillId="9" borderId="0" xfId="0" applyFont="1" applyFill="1" applyAlignment="1">
      <alignment horizontal="left" vertical="top" wrapText="1"/>
    </xf>
    <xf numFmtId="0" fontId="46" fillId="9" borderId="69" xfId="0" applyFont="1" applyFill="1" applyBorder="1" applyAlignment="1">
      <alignment horizontal="left" vertical="top" wrapText="1"/>
    </xf>
    <xf numFmtId="0" fontId="52" fillId="6" borderId="66" xfId="0" applyFont="1" applyFill="1" applyBorder="1" applyAlignment="1">
      <alignment horizontal="center" vertical="center"/>
    </xf>
    <xf numFmtId="0" fontId="52" fillId="6" borderId="68" xfId="0" applyFont="1" applyFill="1" applyBorder="1" applyAlignment="1">
      <alignment horizontal="center" vertical="center"/>
    </xf>
    <xf numFmtId="0" fontId="52" fillId="6" borderId="67" xfId="0" applyFont="1" applyFill="1" applyBorder="1" applyAlignment="1">
      <alignment horizontal="center" vertical="center"/>
    </xf>
    <xf numFmtId="3" fontId="42" fillId="2" borderId="0" xfId="0" applyNumberFormat="1" applyFont="1" applyFill="1" applyBorder="1" applyAlignment="1" applyProtection="1">
      <alignment horizontal="right"/>
      <protection locked="0"/>
    </xf>
    <xf numFmtId="3" fontId="42" fillId="2" borderId="62" xfId="0" applyNumberFormat="1" applyFont="1" applyFill="1" applyBorder="1" applyAlignment="1" applyProtection="1">
      <alignment horizontal="left"/>
      <protection locked="0"/>
    </xf>
    <xf numFmtId="3" fontId="42" fillId="2" borderId="65" xfId="0" applyNumberFormat="1" applyFont="1" applyFill="1" applyBorder="1" applyAlignment="1" applyProtection="1">
      <alignment horizontal="left"/>
      <protection locked="0"/>
    </xf>
    <xf numFmtId="3" fontId="43" fillId="2" borderId="62" xfId="0" applyNumberFormat="1" applyFont="1" applyFill="1" applyBorder="1" applyAlignment="1" applyProtection="1">
      <alignment horizontal="left"/>
      <protection locked="0"/>
    </xf>
    <xf numFmtId="3" fontId="43" fillId="2" borderId="65" xfId="0" applyNumberFormat="1" applyFont="1" applyFill="1" applyBorder="1" applyAlignment="1" applyProtection="1">
      <alignment horizontal="left"/>
      <protection locked="0"/>
    </xf>
    <xf numFmtId="0" fontId="42" fillId="9" borderId="147" xfId="0" applyFont="1" applyFill="1" applyBorder="1" applyAlignment="1">
      <alignment horizontal="center" vertical="center"/>
    </xf>
    <xf numFmtId="0" fontId="75" fillId="0" borderId="0" xfId="0" applyFont="1" applyBorder="1" applyAlignment="1">
      <alignment horizontal="center"/>
    </xf>
    <xf numFmtId="0" fontId="42" fillId="9" borderId="0" xfId="0" applyFont="1" applyFill="1" applyBorder="1" applyAlignment="1">
      <alignment horizontal="center" vertical="center"/>
    </xf>
    <xf numFmtId="0" fontId="39" fillId="0" borderId="28" xfId="0" applyFont="1" applyBorder="1" applyAlignment="1" applyProtection="1">
      <alignment horizontal="center" vertical="top" wrapText="1"/>
    </xf>
    <xf numFmtId="0" fontId="39" fillId="0" borderId="29" xfId="0" applyFont="1" applyBorder="1" applyAlignment="1" applyProtection="1">
      <alignment horizontal="center" vertical="top" wrapText="1"/>
    </xf>
    <xf numFmtId="0" fontId="39" fillId="0" borderId="30" xfId="0" applyFont="1" applyBorder="1" applyAlignment="1" applyProtection="1">
      <alignment horizontal="center" vertical="top" wrapText="1"/>
    </xf>
    <xf numFmtId="0" fontId="39" fillId="0" borderId="73" xfId="0" applyFont="1" applyBorder="1" applyAlignment="1" applyProtection="1">
      <alignment horizontal="center" vertical="top" wrapText="1"/>
      <protection locked="0"/>
    </xf>
    <xf numFmtId="0" fontId="39" fillId="7" borderId="73" xfId="0" applyFont="1" applyFill="1" applyBorder="1" applyAlignment="1" applyProtection="1">
      <alignment horizontal="center"/>
      <protection locked="0"/>
    </xf>
    <xf numFmtId="174" fontId="70" fillId="21" borderId="42" xfId="0" applyNumberFormat="1" applyFont="1" applyFill="1" applyBorder="1" applyAlignment="1" applyProtection="1">
      <alignment horizontal="center"/>
    </xf>
    <xf numFmtId="174" fontId="70" fillId="21" borderId="43" xfId="0" applyNumberFormat="1" applyFont="1" applyFill="1" applyBorder="1" applyAlignment="1" applyProtection="1">
      <alignment horizontal="center"/>
    </xf>
    <xf numFmtId="174" fontId="70" fillId="21" borderId="44" xfId="0" applyNumberFormat="1" applyFont="1" applyFill="1" applyBorder="1" applyAlignment="1" applyProtection="1">
      <alignment horizontal="center"/>
    </xf>
    <xf numFmtId="0" fontId="39" fillId="7" borderId="0" xfId="0" applyFont="1" applyFill="1" applyAlignment="1" applyProtection="1">
      <alignment horizontal="center" vertical="top" wrapText="1"/>
    </xf>
    <xf numFmtId="0" fontId="20" fillId="3" borderId="95" xfId="0" applyFont="1" applyFill="1" applyBorder="1" applyAlignment="1" applyProtection="1">
      <alignment horizontal="center" vertical="center" wrapText="1"/>
    </xf>
    <xf numFmtId="0" fontId="77" fillId="0" borderId="42" xfId="0" applyFont="1" applyFill="1" applyBorder="1" applyAlignment="1">
      <alignment horizontal="center"/>
    </xf>
    <xf numFmtId="0" fontId="77" fillId="0" borderId="43" xfId="0" applyFont="1" applyFill="1" applyBorder="1" applyAlignment="1">
      <alignment horizontal="center"/>
    </xf>
    <xf numFmtId="0" fontId="77" fillId="0" borderId="44" xfId="0" applyFont="1" applyFill="1" applyBorder="1" applyAlignment="1">
      <alignment horizontal="center"/>
    </xf>
    <xf numFmtId="0" fontId="0" fillId="24" borderId="93" xfId="0" applyFill="1" applyBorder="1" applyAlignment="1">
      <alignment horizontal="center"/>
    </xf>
    <xf numFmtId="0" fontId="0" fillId="24" borderId="108" xfId="0" applyFill="1" applyBorder="1" applyAlignment="1">
      <alignment horizontal="center"/>
    </xf>
    <xf numFmtId="0" fontId="4" fillId="5" borderId="0" xfId="0" applyFont="1" applyFill="1" applyBorder="1" applyAlignment="1">
      <alignment horizontal="center" vertical="top" wrapText="1"/>
    </xf>
    <xf numFmtId="172" fontId="11" fillId="30" borderId="0" xfId="0" applyNumberFormat="1" applyFont="1" applyFill="1" applyBorder="1" applyAlignment="1" applyProtection="1">
      <alignment horizontal="center" vertical="center"/>
    </xf>
    <xf numFmtId="3" fontId="9" fillId="40" borderId="66" xfId="0" applyNumberFormat="1" applyFont="1" applyFill="1" applyBorder="1" applyAlignment="1">
      <alignment horizontal="center" vertical="center" wrapText="1"/>
    </xf>
    <xf numFmtId="0" fontId="9" fillId="40" borderId="67" xfId="0" applyFont="1" applyFill="1" applyBorder="1" applyAlignment="1">
      <alignment horizontal="center" vertical="center" wrapText="1"/>
    </xf>
    <xf numFmtId="3" fontId="9" fillId="40" borderId="67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left" vertical="center" wrapText="1"/>
    </xf>
    <xf numFmtId="0" fontId="89" fillId="0" borderId="0" xfId="0" applyFont="1" applyAlignment="1">
      <alignment horizontal="left" vertical="center"/>
    </xf>
    <xf numFmtId="0" fontId="89" fillId="0" borderId="0" xfId="0" applyFont="1" applyAlignment="1">
      <alignment horizontal="left"/>
    </xf>
    <xf numFmtId="0" fontId="7" fillId="9" borderId="0" xfId="0" applyFont="1" applyFill="1" applyAlignment="1">
      <alignment horizontal="center" wrapText="1"/>
    </xf>
    <xf numFmtId="0" fontId="63" fillId="9" borderId="0" xfId="0" applyFont="1" applyFill="1" applyAlignment="1">
      <alignment horizontal="center" vertical="top" wrapText="1"/>
    </xf>
    <xf numFmtId="0" fontId="0" fillId="9" borderId="0" xfId="0" applyFill="1" applyAlignment="1">
      <alignment horizontal="left" wrapText="1" indent="1"/>
    </xf>
    <xf numFmtId="0" fontId="0" fillId="9" borderId="0" xfId="0" applyFill="1" applyAlignment="1">
      <alignment horizontal="left" vertical="center" wrapText="1" indent="1"/>
    </xf>
    <xf numFmtId="0" fontId="0" fillId="9" borderId="0" xfId="0" applyFill="1" applyAlignment="1">
      <alignment horizontal="left" wrapText="1"/>
    </xf>
    <xf numFmtId="177" fontId="105" fillId="31" borderId="0" xfId="0" applyNumberFormat="1" applyFont="1" applyFill="1" applyAlignment="1">
      <alignment horizontal="left" vertical="center"/>
    </xf>
    <xf numFmtId="0" fontId="8" fillId="9" borderId="0" xfId="0" applyFont="1" applyFill="1" applyAlignment="1">
      <alignment horizontal="left" vertical="center" wrapText="1"/>
    </xf>
    <xf numFmtId="0" fontId="0" fillId="9" borderId="0" xfId="0" applyFill="1" applyAlignment="1">
      <alignment horizontal="left" vertical="center" wrapText="1"/>
    </xf>
    <xf numFmtId="0" fontId="0" fillId="9" borderId="127" xfId="0" applyFill="1" applyBorder="1" applyAlignment="1">
      <alignment horizontal="left" vertical="center" wrapText="1"/>
    </xf>
    <xf numFmtId="0" fontId="0" fillId="9" borderId="0" xfId="0" applyFill="1" applyAlignment="1">
      <alignment horizontal="center" wrapText="1"/>
    </xf>
    <xf numFmtId="0" fontId="93" fillId="19" borderId="125" xfId="0" applyFont="1" applyFill="1" applyBorder="1" applyAlignment="1">
      <alignment horizontal="left" vertical="center" wrapText="1"/>
    </xf>
    <xf numFmtId="0" fontId="93" fillId="19" borderId="125" xfId="0" applyFont="1" applyFill="1" applyBorder="1" applyAlignment="1">
      <alignment horizontal="left" wrapText="1"/>
    </xf>
    <xf numFmtId="0" fontId="104" fillId="9" borderId="0" xfId="0" applyFont="1" applyFill="1" applyAlignment="1">
      <alignment horizontal="right" vertical="top"/>
    </xf>
    <xf numFmtId="0" fontId="0" fillId="9" borderId="0" xfId="0" applyFill="1" applyAlignment="1">
      <alignment horizontal="justify" vertical="top" wrapText="1"/>
    </xf>
    <xf numFmtId="0" fontId="0" fillId="9" borderId="0" xfId="0" applyFill="1" applyAlignment="1">
      <alignment horizontal="justify" vertical="center" wrapText="1"/>
    </xf>
    <xf numFmtId="0" fontId="113" fillId="35" borderId="28" xfId="0" applyFont="1" applyFill="1" applyBorder="1" applyAlignment="1">
      <alignment horizontal="left" vertical="center"/>
    </xf>
    <xf numFmtId="0" fontId="113" fillId="35" borderId="29" xfId="0" applyFont="1" applyFill="1" applyBorder="1" applyAlignment="1">
      <alignment horizontal="left" vertical="center"/>
    </xf>
    <xf numFmtId="3" fontId="65" fillId="35" borderId="0" xfId="0" applyNumberFormat="1" applyFont="1" applyFill="1" applyAlignment="1">
      <alignment horizontal="center" vertical="center"/>
    </xf>
    <xf numFmtId="0" fontId="65" fillId="35" borderId="0" xfId="0" applyFont="1" applyFill="1" applyAlignment="1">
      <alignment horizontal="center" vertical="center"/>
    </xf>
    <xf numFmtId="0" fontId="66" fillId="35" borderId="0" xfId="0" applyFont="1" applyFill="1" applyAlignment="1">
      <alignment horizontal="left" vertical="center"/>
    </xf>
    <xf numFmtId="0" fontId="113" fillId="35" borderId="30" xfId="0" applyFont="1" applyFill="1" applyBorder="1" applyAlignment="1">
      <alignment horizontal="left" vertical="center"/>
    </xf>
  </cellXfs>
  <cellStyles count="6">
    <cellStyle name="Hipervínculo" xfId="3" builtinId="8"/>
    <cellStyle name="Hipervínculo 2" xfId="5" xr:uid="{00000000-0005-0000-0000-000001000000}"/>
    <cellStyle name="Millares" xfId="2" builtinId="3"/>
    <cellStyle name="Normal" xfId="0" builtinId="0"/>
    <cellStyle name="Normal 2" xfId="4" xr:uid="{00000000-0005-0000-0000-000004000000}"/>
    <cellStyle name="Porcentaje" xfId="1" builtinId="5"/>
  </cellStyles>
  <dxfs count="56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4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3" formatCode="#,##0"/>
      <fill>
        <patternFill patternType="solid">
          <fgColor theme="0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3" formatCode="#,##0"/>
      <fill>
        <patternFill patternType="solid">
          <fgColor theme="0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3" formatCode="#,##0"/>
      <fill>
        <patternFill patternType="solid">
          <fgColor theme="0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theme="0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ill>
        <patternFill>
          <fgColor theme="0"/>
          <bgColor theme="0"/>
        </patternFill>
      </fill>
      <border>
        <right style="thin">
          <color auto="1"/>
        </right>
      </border>
    </dxf>
    <dxf>
      <fill>
        <patternFill>
          <fgColor theme="0"/>
          <bgColor theme="0"/>
        </patternFill>
      </fill>
      <border>
        <left style="thin">
          <color auto="1"/>
        </left>
      </border>
    </dxf>
    <dxf>
      <numFmt numFmtId="3" formatCode="#,##0"/>
      <fill>
        <patternFill patternType="solid">
          <fgColor theme="0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fgColor theme="0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numFmt numFmtId="3" formatCode="#,##0"/>
      <fill>
        <patternFill patternType="solid">
          <fgColor theme="0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numFmt numFmtId="3" formatCode="#,##0"/>
      <fill>
        <patternFill patternType="solid">
          <fgColor theme="0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ill>
        <patternFill>
          <fgColor theme="0"/>
          <bgColor theme="0"/>
        </patternFill>
      </fill>
    </dxf>
    <dxf>
      <numFmt numFmtId="3" formatCode="#,##0"/>
      <fill>
        <patternFill patternType="solid">
          <fgColor theme="0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ill>
        <patternFill>
          <fgColor theme="0"/>
          <bgColor theme="0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ill>
        <patternFill>
          <fgColor theme="0"/>
          <bgColor theme="0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medium">
          <color auto="1"/>
        </top>
      </border>
    </dxf>
    <dxf>
      <fill>
        <patternFill patternType="solid">
          <fgColor theme="0"/>
          <bgColor theme="0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0"/>
          <bgColor rgb="FF0070C0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theme="4" tint="0.79998168889431442"/>
      </font>
    </dxf>
    <dxf>
      <font>
        <color theme="3" tint="0.79998168889431442"/>
      </font>
    </dxf>
    <dxf>
      <font>
        <color theme="3" tint="0.79998168889431442"/>
      </font>
    </dxf>
    <dxf>
      <font>
        <color theme="4" tint="0.79998168889431442"/>
      </font>
    </dxf>
    <dxf>
      <font>
        <color theme="3" tint="0.79998168889431442"/>
      </font>
    </dxf>
    <dxf>
      <font>
        <color theme="3" tint="0.79998168889431442"/>
      </font>
    </dxf>
    <dxf>
      <font>
        <color theme="4" tint="0.79998168889431442"/>
      </font>
    </dxf>
    <dxf>
      <font>
        <color theme="3" tint="0.79998168889431442"/>
      </font>
    </dxf>
    <dxf>
      <font>
        <color theme="3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0"/>
      </font>
    </dxf>
    <dxf>
      <font>
        <color theme="3" tint="0.79998168889431442"/>
      </font>
    </dxf>
    <dxf>
      <font>
        <color theme="3" tint="0.79998168889431442"/>
      </font>
    </dxf>
    <dxf>
      <font>
        <color theme="4" tint="0.79998168889431442"/>
      </font>
    </dxf>
    <dxf>
      <font>
        <color theme="3" tint="0.79998168889431442"/>
      </font>
    </dxf>
    <dxf>
      <font>
        <color theme="3" tint="0.79998168889431442"/>
      </font>
    </dxf>
    <dxf>
      <font>
        <color theme="4" tint="0.79998168889431442"/>
      </font>
    </dxf>
    <dxf>
      <font>
        <color theme="3" tint="0.79998168889431442"/>
      </font>
    </dxf>
    <dxf>
      <font>
        <color theme="4" tint="0.79998168889431442"/>
      </font>
    </dxf>
    <dxf>
      <font>
        <color theme="3" tint="0.79998168889431442"/>
      </font>
    </dxf>
    <dxf>
      <font>
        <color theme="4" tint="0.79998168889431442"/>
      </font>
    </dxf>
    <dxf>
      <font>
        <color theme="3" tint="0.79998168889431442"/>
      </font>
    </dxf>
    <dxf>
      <font>
        <color theme="3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ill>
        <patternFill>
          <bgColor theme="6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theme="6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 tint="-0.24994659260841701"/>
        </patternFill>
      </fill>
    </dxf>
    <dxf>
      <font>
        <color theme="0"/>
      </font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 tint="-0.24994659260841701"/>
        </patternFill>
      </fill>
    </dxf>
    <dxf>
      <font>
        <color theme="0"/>
      </font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 tint="-0.24994659260841701"/>
        </patternFill>
      </fill>
    </dxf>
    <dxf>
      <font>
        <color theme="0"/>
      </font>
    </dxf>
    <dxf>
      <font>
        <color theme="4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4" tint="0.79998168889431442"/>
      </font>
      <fill>
        <patternFill patternType="solid">
          <f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theme="9" tint="0.79998168889431442"/>
        </patternFill>
      </fill>
    </dxf>
    <dxf>
      <font>
        <color rgb="FF00B050"/>
      </font>
      <fill>
        <patternFill>
          <bgColor theme="6" tint="0.79998168889431442"/>
        </patternFill>
      </fill>
    </dxf>
    <dxf>
      <font>
        <color rgb="FF9C0006"/>
      </font>
      <fill>
        <patternFill>
          <bgColor theme="9" tint="0.79998168889431442"/>
        </patternFill>
      </fill>
    </dxf>
    <dxf>
      <font>
        <color rgb="FF00B050"/>
      </font>
      <fill>
        <patternFill>
          <bgColor theme="6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051914374012597E-2"/>
          <c:y val="0.13396699138157914"/>
          <c:w val="0.90636215437099144"/>
          <c:h val="0.57581711579809469"/>
        </c:manualLayout>
      </c:layout>
      <c:lineChart>
        <c:grouping val="standard"/>
        <c:varyColors val="0"/>
        <c:ser>
          <c:idx val="0"/>
          <c:order val="0"/>
          <c:cat>
            <c:numRef>
              <c:f>Ventas!$E$42:$P$42</c:f>
              <c:numCache>
                <c:formatCode>mmm\,\ yyyy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Ventas!$E$58:$P$58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8-4ED6-9B9A-493EDD1E4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340160"/>
        <c:axId val="215341696"/>
      </c:lineChart>
      <c:dateAx>
        <c:axId val="215340160"/>
        <c:scaling>
          <c:orientation val="minMax"/>
        </c:scaling>
        <c:delete val="0"/>
        <c:axPos val="b"/>
        <c:numFmt formatCode="mmm\,\ yyyy" sourceLinked="1"/>
        <c:majorTickMark val="out"/>
        <c:minorTickMark val="none"/>
        <c:tickLblPos val="nextTo"/>
        <c:crossAx val="215341696"/>
        <c:crosses val="autoZero"/>
        <c:auto val="1"/>
        <c:lblOffset val="100"/>
        <c:baseTimeUnit val="months"/>
      </c:dateAx>
      <c:valAx>
        <c:axId val="2153416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15340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Resultados!$B$33:$B$37</c:f>
              <c:strCache>
                <c:ptCount val="5"/>
                <c:pt idx="0">
                  <c:v>Gastos variables</c:v>
                </c:pt>
                <c:pt idx="1">
                  <c:v>Gastos personal</c:v>
                </c:pt>
                <c:pt idx="2">
                  <c:v>Publicidad</c:v>
                </c:pt>
                <c:pt idx="3">
                  <c:v>0</c:v>
                </c:pt>
                <c:pt idx="4">
                  <c:v>Otros gastos fijos</c:v>
                </c:pt>
              </c:strCache>
            </c:strRef>
          </c:cat>
          <c:val>
            <c:numRef>
              <c:f>Resultados!$C$33:$C$37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7-4E22-8816-E721C43245E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'Tesorería mensual'!$C$2:$N$2</c:f>
              <c:numCache>
                <c:formatCode>mmm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'Tesorería mensual'!$C$47:$N$47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9-472F-8466-65236B6CF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157632"/>
        <c:axId val="245326976"/>
      </c:lineChart>
      <c:dateAx>
        <c:axId val="223157632"/>
        <c:scaling>
          <c:orientation val="minMax"/>
        </c:scaling>
        <c:delete val="0"/>
        <c:axPos val="b"/>
        <c:numFmt formatCode="mmm" sourceLinked="1"/>
        <c:majorTickMark val="out"/>
        <c:minorTickMark val="none"/>
        <c:tickLblPos val="nextTo"/>
        <c:crossAx val="245326976"/>
        <c:crosses val="autoZero"/>
        <c:auto val="1"/>
        <c:lblOffset val="100"/>
        <c:baseTimeUnit val="months"/>
      </c:dateAx>
      <c:valAx>
        <c:axId val="2453269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31576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b="0" i="0"/>
              <a:t>Evolución tesorería</a:t>
            </a:r>
            <a:r>
              <a:rPr lang="es-ES" b="0" i="0" baseline="0"/>
              <a:t> 12 primeros meses actividad</a:t>
            </a:r>
            <a:endParaRPr lang="es-ES" b="0" i="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'Tesorería mensual'!$C$2:$N$2</c:f>
              <c:numCache>
                <c:formatCode>mmm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'Tesorería mensual'!$C$47:$N$47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16-464D-8EF9-EA7D17D4C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965248"/>
        <c:axId val="255947520"/>
      </c:lineChart>
      <c:dateAx>
        <c:axId val="214965248"/>
        <c:scaling>
          <c:orientation val="minMax"/>
        </c:scaling>
        <c:delete val="0"/>
        <c:axPos val="b"/>
        <c:numFmt formatCode="mmm" sourceLinked="1"/>
        <c:majorTickMark val="none"/>
        <c:minorTickMark val="none"/>
        <c:tickLblPos val="nextTo"/>
        <c:crossAx val="255947520"/>
        <c:crosses val="autoZero"/>
        <c:auto val="1"/>
        <c:lblOffset val="100"/>
        <c:baseTimeUnit val="months"/>
      </c:dateAx>
      <c:valAx>
        <c:axId val="255947520"/>
        <c:scaling>
          <c:orientation val="minMax"/>
        </c:scaling>
        <c:delete val="0"/>
        <c:axPos val="l"/>
        <c:majorGridlines/>
        <c:title>
          <c:overlay val="0"/>
        </c:title>
        <c:numFmt formatCode="#,##0" sourceLinked="1"/>
        <c:majorTickMark val="none"/>
        <c:minorTickMark val="none"/>
        <c:tickLblPos val="nextTo"/>
        <c:crossAx val="214965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Nº</a:t>
            </a:r>
          </a:p>
          <a:p>
            <a:pPr>
              <a:defRPr/>
            </a:pPr>
            <a:r>
              <a:rPr lang="es-ES"/>
              <a:t> acciones</a:t>
            </a:r>
          </a:p>
        </c:rich>
      </c:tx>
      <c:layout>
        <c:manualLayout>
          <c:xMode val="edge"/>
          <c:yMode val="edge"/>
          <c:x val="2.192053579509458E-3"/>
          <c:y val="7.2992714714009369E-3"/>
        </c:manualLayout>
      </c:layout>
      <c:overlay val="1"/>
    </c:title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9556650246305417E-2"/>
          <c:y val="2.8259473346178548E-2"/>
          <c:w val="0.92775041050903118"/>
          <c:h val="0.65318566393073696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Funnel!$A$3</c:f>
              <c:strCache>
                <c:ptCount val="1"/>
                <c:pt idx="0">
                  <c:v>Llamadas teléfono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Funnel!$A$2:$B$2</c:f>
              <c:strCache>
                <c:ptCount val="2"/>
                <c:pt idx="0">
                  <c:v>Tipo acciones</c:v>
                </c:pt>
                <c:pt idx="1">
                  <c:v>Número</c:v>
                </c:pt>
              </c:strCache>
            </c:strRef>
          </c:cat>
          <c:val>
            <c:numRef>
              <c:f>Funnel!$B$3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55C-4D4D-A083-3C586004FFB3}"/>
            </c:ext>
          </c:extLst>
        </c:ser>
        <c:ser>
          <c:idx val="1"/>
          <c:order val="1"/>
          <c:tx>
            <c:strRef>
              <c:f>Funnel!$A$4</c:f>
              <c:strCache>
                <c:ptCount val="1"/>
                <c:pt idx="0">
                  <c:v>Visitas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Funnel!$A$2:$B$2</c:f>
              <c:strCache>
                <c:ptCount val="2"/>
                <c:pt idx="0">
                  <c:v>Tipo acciones</c:v>
                </c:pt>
                <c:pt idx="1">
                  <c:v>Número</c:v>
                </c:pt>
              </c:strCache>
            </c:strRef>
          </c:cat>
          <c:val>
            <c:numRef>
              <c:f>Funnel!$B$4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55C-4D4D-A083-3C586004FFB3}"/>
            </c:ext>
          </c:extLst>
        </c:ser>
        <c:ser>
          <c:idx val="2"/>
          <c:order val="2"/>
          <c:tx>
            <c:strRef>
              <c:f>Funnel!$A$5</c:f>
              <c:strCache>
                <c:ptCount val="1"/>
                <c:pt idx="0">
                  <c:v>Presupuestos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Funnel!$A$2:$B$2</c:f>
              <c:strCache>
                <c:ptCount val="2"/>
                <c:pt idx="0">
                  <c:v>Tipo acciones</c:v>
                </c:pt>
                <c:pt idx="1">
                  <c:v>Número</c:v>
                </c:pt>
              </c:strCache>
            </c:strRef>
          </c:cat>
          <c:val>
            <c:numRef>
              <c:f>Funnel!$B$5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55C-4D4D-A083-3C586004FFB3}"/>
            </c:ext>
          </c:extLst>
        </c:ser>
        <c:ser>
          <c:idx val="3"/>
          <c:order val="3"/>
          <c:tx>
            <c:strRef>
              <c:f>Funnel!$A$6</c:f>
              <c:strCache>
                <c:ptCount val="1"/>
                <c:pt idx="0">
                  <c:v>Seguimientos presupuestos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Funnel!$A$2:$B$2</c:f>
              <c:strCache>
                <c:ptCount val="2"/>
                <c:pt idx="0">
                  <c:v>Tipo acciones</c:v>
                </c:pt>
                <c:pt idx="1">
                  <c:v>Número</c:v>
                </c:pt>
              </c:strCache>
            </c:strRef>
          </c:cat>
          <c:val>
            <c:numRef>
              <c:f>Funnel!$B$6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55C-4D4D-A083-3C586004FFB3}"/>
            </c:ext>
          </c:extLst>
        </c:ser>
        <c:ser>
          <c:idx val="4"/>
          <c:order val="4"/>
          <c:tx>
            <c:strRef>
              <c:f>Funnel!$A$7</c:f>
              <c:strCache>
                <c:ptCount val="1"/>
                <c:pt idx="0">
                  <c:v>Redes sociales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Funnel!$A$2:$B$2</c:f>
              <c:strCache>
                <c:ptCount val="2"/>
                <c:pt idx="0">
                  <c:v>Tipo acciones</c:v>
                </c:pt>
                <c:pt idx="1">
                  <c:v>Número</c:v>
                </c:pt>
              </c:strCache>
            </c:strRef>
          </c:cat>
          <c:val>
            <c:numRef>
              <c:f>Funnel!$B$7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55C-4D4D-A083-3C586004FFB3}"/>
            </c:ext>
          </c:extLst>
        </c:ser>
        <c:ser>
          <c:idx val="5"/>
          <c:order val="5"/>
          <c:tx>
            <c:strRef>
              <c:f>Funnel!$A$7</c:f>
              <c:strCache>
                <c:ptCount val="1"/>
                <c:pt idx="0">
                  <c:v>Redes sociales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Funnel!$A$2:$B$2</c:f>
              <c:strCache>
                <c:ptCount val="2"/>
                <c:pt idx="0">
                  <c:v>Tipo acciones</c:v>
                </c:pt>
                <c:pt idx="1">
                  <c:v>Número</c:v>
                </c:pt>
              </c:strCache>
            </c:strRef>
          </c:cat>
          <c:val>
            <c:numRef>
              <c:f>Funnel!$B$7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55C-4D4D-A083-3C586004FFB3}"/>
            </c:ext>
          </c:extLst>
        </c:ser>
        <c:ser>
          <c:idx val="6"/>
          <c:order val="6"/>
          <c:tx>
            <c:strRef>
              <c:f>Funnel!$A$8</c:f>
              <c:strCache>
                <c:ptCount val="1"/>
                <c:pt idx="0">
                  <c:v>Radio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Funnel!$A$2:$B$2</c:f>
              <c:strCache>
                <c:ptCount val="2"/>
                <c:pt idx="0">
                  <c:v>Tipo acciones</c:v>
                </c:pt>
                <c:pt idx="1">
                  <c:v>Número</c:v>
                </c:pt>
              </c:strCache>
            </c:strRef>
          </c:cat>
          <c:val>
            <c:numRef>
              <c:f>Funnel!$B$8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55C-4D4D-A083-3C586004FFB3}"/>
            </c:ext>
          </c:extLst>
        </c:ser>
        <c:ser>
          <c:idx val="7"/>
          <c:order val="7"/>
          <c:tx>
            <c:strRef>
              <c:f>Funnel!$A$9</c:f>
              <c:strCache>
                <c:ptCount val="1"/>
                <c:pt idx="0">
                  <c:v>Adwords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Funnel!$A$2:$B$2</c:f>
              <c:strCache>
                <c:ptCount val="2"/>
                <c:pt idx="0">
                  <c:v>Tipo acciones</c:v>
                </c:pt>
                <c:pt idx="1">
                  <c:v>Número</c:v>
                </c:pt>
              </c:strCache>
            </c:strRef>
          </c:cat>
          <c:val>
            <c:numRef>
              <c:f>Funnel!$B$9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55C-4D4D-A083-3C586004FFB3}"/>
            </c:ext>
          </c:extLst>
        </c:ser>
        <c:ser>
          <c:idx val="8"/>
          <c:order val="8"/>
          <c:tx>
            <c:strRef>
              <c:f>Funnel!$A$10</c:f>
              <c:strCache>
                <c:ptCount val="1"/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Funnel!$A$2:$B$2</c:f>
              <c:strCache>
                <c:ptCount val="2"/>
                <c:pt idx="0">
                  <c:v>Tipo acciones</c:v>
                </c:pt>
                <c:pt idx="1">
                  <c:v>Número</c:v>
                </c:pt>
              </c:strCache>
            </c:strRef>
          </c:cat>
          <c:val>
            <c:numRef>
              <c:f>Funnel!$B$10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55C-4D4D-A083-3C586004FFB3}"/>
            </c:ext>
          </c:extLst>
        </c:ser>
        <c:ser>
          <c:idx val="9"/>
          <c:order val="9"/>
          <c:tx>
            <c:strRef>
              <c:f>Funnel!$A$11</c:f>
              <c:strCache>
                <c:ptCount val="1"/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Funnel!$B$11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55C-4D4D-A083-3C586004FFB3}"/>
            </c:ext>
          </c:extLst>
        </c:ser>
        <c:ser>
          <c:idx val="10"/>
          <c:order val="10"/>
          <c:tx>
            <c:strRef>
              <c:f>Funnel!$A$13</c:f>
              <c:strCache>
                <c:ptCount val="1"/>
                <c:pt idx="0">
                  <c:v>Ventas conseguidas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Funnel!$B$13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5C-4D4D-A083-3C586004FF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gapDepth val="95"/>
        <c:shape val="pyramid"/>
        <c:axId val="282863104"/>
        <c:axId val="282864640"/>
        <c:axId val="0"/>
      </c:bar3DChart>
      <c:catAx>
        <c:axId val="282863104"/>
        <c:scaling>
          <c:orientation val="minMax"/>
        </c:scaling>
        <c:delete val="1"/>
        <c:axPos val="t"/>
        <c:numFmt formatCode="General" sourceLinked="0"/>
        <c:majorTickMark val="none"/>
        <c:minorTickMark val="none"/>
        <c:tickLblPos val="nextTo"/>
        <c:crossAx val="282864640"/>
        <c:crosses val="autoZero"/>
        <c:auto val="1"/>
        <c:lblAlgn val="ctr"/>
        <c:lblOffset val="100"/>
        <c:noMultiLvlLbl val="0"/>
      </c:catAx>
      <c:valAx>
        <c:axId val="282864640"/>
        <c:scaling>
          <c:orientation val="maxMin"/>
        </c:scaling>
        <c:delete val="1"/>
        <c:axPos val="l"/>
        <c:numFmt formatCode="0%" sourceLinked="1"/>
        <c:majorTickMark val="none"/>
        <c:minorTickMark val="none"/>
        <c:tickLblPos val="nextTo"/>
        <c:crossAx val="2828631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628848118123165E-2"/>
          <c:y val="0.69419570790449225"/>
          <c:w val="0.80742303763753664"/>
          <c:h val="0.2886789065335368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Coste</a:t>
            </a:r>
          </a:p>
        </c:rich>
      </c:tx>
      <c:layout>
        <c:manualLayout>
          <c:xMode val="edge"/>
          <c:yMode val="edge"/>
          <c:x val="2.192053579509458E-3"/>
          <c:y val="4.8661809809339577E-3"/>
        </c:manualLayout>
      </c:layout>
      <c:overlay val="1"/>
    </c:title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9556650246305417E-2"/>
          <c:y val="2.8259473346178548E-2"/>
          <c:w val="0.92775041050903118"/>
          <c:h val="0.65318566393073696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Funnel!$A$3</c:f>
              <c:strCache>
                <c:ptCount val="1"/>
                <c:pt idx="0">
                  <c:v>Llamadas teléfono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Funnel!$A$2:$B$2</c:f>
              <c:strCache>
                <c:ptCount val="2"/>
                <c:pt idx="0">
                  <c:v>Tipo acciones</c:v>
                </c:pt>
                <c:pt idx="1">
                  <c:v>Número</c:v>
                </c:pt>
              </c:strCache>
            </c:strRef>
          </c:cat>
          <c:val>
            <c:numRef>
              <c:f>Funnel!$C$3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8F4-4D41-8F4D-B58095BCA4C0}"/>
            </c:ext>
          </c:extLst>
        </c:ser>
        <c:ser>
          <c:idx val="1"/>
          <c:order val="1"/>
          <c:tx>
            <c:strRef>
              <c:f>Funnel!$A$4</c:f>
              <c:strCache>
                <c:ptCount val="1"/>
                <c:pt idx="0">
                  <c:v>Visitas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Funnel!$A$2:$B$2</c:f>
              <c:strCache>
                <c:ptCount val="2"/>
                <c:pt idx="0">
                  <c:v>Tipo acciones</c:v>
                </c:pt>
                <c:pt idx="1">
                  <c:v>Número</c:v>
                </c:pt>
              </c:strCache>
            </c:strRef>
          </c:cat>
          <c:val>
            <c:numRef>
              <c:f>Funnel!$C$4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8F4-4D41-8F4D-B58095BCA4C0}"/>
            </c:ext>
          </c:extLst>
        </c:ser>
        <c:ser>
          <c:idx val="2"/>
          <c:order val="2"/>
          <c:tx>
            <c:strRef>
              <c:f>Funnel!$A$5</c:f>
              <c:strCache>
                <c:ptCount val="1"/>
                <c:pt idx="0">
                  <c:v>Presupuestos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Funnel!$A$2:$B$2</c:f>
              <c:strCache>
                <c:ptCount val="2"/>
                <c:pt idx="0">
                  <c:v>Tipo acciones</c:v>
                </c:pt>
                <c:pt idx="1">
                  <c:v>Número</c:v>
                </c:pt>
              </c:strCache>
            </c:strRef>
          </c:cat>
          <c:val>
            <c:numRef>
              <c:f>Funnel!$C$5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8F4-4D41-8F4D-B58095BCA4C0}"/>
            </c:ext>
          </c:extLst>
        </c:ser>
        <c:ser>
          <c:idx val="3"/>
          <c:order val="3"/>
          <c:tx>
            <c:strRef>
              <c:f>Funnel!$A$6</c:f>
              <c:strCache>
                <c:ptCount val="1"/>
                <c:pt idx="0">
                  <c:v>Seguimientos presupuestos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Funnel!$A$2:$B$2</c:f>
              <c:strCache>
                <c:ptCount val="2"/>
                <c:pt idx="0">
                  <c:v>Tipo acciones</c:v>
                </c:pt>
                <c:pt idx="1">
                  <c:v>Número</c:v>
                </c:pt>
              </c:strCache>
            </c:strRef>
          </c:cat>
          <c:val>
            <c:numRef>
              <c:f>Funnel!$C$6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8F4-4D41-8F4D-B58095BCA4C0}"/>
            </c:ext>
          </c:extLst>
        </c:ser>
        <c:ser>
          <c:idx val="4"/>
          <c:order val="4"/>
          <c:tx>
            <c:strRef>
              <c:f>Funnel!$A$7</c:f>
              <c:strCache>
                <c:ptCount val="1"/>
                <c:pt idx="0">
                  <c:v>Redes sociales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Funnel!$A$2:$B$2</c:f>
              <c:strCache>
                <c:ptCount val="2"/>
                <c:pt idx="0">
                  <c:v>Tipo acciones</c:v>
                </c:pt>
                <c:pt idx="1">
                  <c:v>Número</c:v>
                </c:pt>
              </c:strCache>
            </c:strRef>
          </c:cat>
          <c:val>
            <c:numRef>
              <c:f>Funnel!$C$7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8F4-4D41-8F4D-B58095BCA4C0}"/>
            </c:ext>
          </c:extLst>
        </c:ser>
        <c:ser>
          <c:idx val="6"/>
          <c:order val="5"/>
          <c:tx>
            <c:strRef>
              <c:f>Funnel!$A$8</c:f>
              <c:strCache>
                <c:ptCount val="1"/>
                <c:pt idx="0">
                  <c:v>Radio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Funnel!$A$2:$B$2</c:f>
              <c:strCache>
                <c:ptCount val="2"/>
                <c:pt idx="0">
                  <c:v>Tipo acciones</c:v>
                </c:pt>
                <c:pt idx="1">
                  <c:v>Número</c:v>
                </c:pt>
              </c:strCache>
            </c:strRef>
          </c:cat>
          <c:val>
            <c:numRef>
              <c:f>Funnel!$C$8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8F4-4D41-8F4D-B58095BCA4C0}"/>
            </c:ext>
          </c:extLst>
        </c:ser>
        <c:ser>
          <c:idx val="7"/>
          <c:order val="6"/>
          <c:tx>
            <c:strRef>
              <c:f>Funnel!$A$9</c:f>
              <c:strCache>
                <c:ptCount val="1"/>
                <c:pt idx="0">
                  <c:v>Adwords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Funnel!$A$2:$B$2</c:f>
              <c:strCache>
                <c:ptCount val="2"/>
                <c:pt idx="0">
                  <c:v>Tipo acciones</c:v>
                </c:pt>
                <c:pt idx="1">
                  <c:v>Número</c:v>
                </c:pt>
              </c:strCache>
            </c:strRef>
          </c:cat>
          <c:val>
            <c:numRef>
              <c:f>Funnel!$C$9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8F4-4D41-8F4D-B58095BCA4C0}"/>
            </c:ext>
          </c:extLst>
        </c:ser>
        <c:ser>
          <c:idx val="8"/>
          <c:order val="7"/>
          <c:tx>
            <c:strRef>
              <c:f>Funnel!$A$10</c:f>
              <c:strCache>
                <c:ptCount val="1"/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Funnel!$A$2:$B$2</c:f>
              <c:strCache>
                <c:ptCount val="2"/>
                <c:pt idx="0">
                  <c:v>Tipo acciones</c:v>
                </c:pt>
                <c:pt idx="1">
                  <c:v>Número</c:v>
                </c:pt>
              </c:strCache>
            </c:strRef>
          </c:cat>
          <c:val>
            <c:numRef>
              <c:f>Funnel!$C$10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8F4-4D41-8F4D-B58095BCA4C0}"/>
            </c:ext>
          </c:extLst>
        </c:ser>
        <c:ser>
          <c:idx val="9"/>
          <c:order val="8"/>
          <c:tx>
            <c:strRef>
              <c:f>Funnel!$A$11</c:f>
              <c:strCache>
                <c:ptCount val="1"/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Funnel!$C$11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18F4-4D41-8F4D-B58095BCA4C0}"/>
            </c:ext>
          </c:extLst>
        </c:ser>
        <c:ser>
          <c:idx val="10"/>
          <c:order val="9"/>
          <c:tx>
            <c:strRef>
              <c:f>Funnel!$A$13</c:f>
              <c:strCache>
                <c:ptCount val="1"/>
                <c:pt idx="0">
                  <c:v>Ventas conseguidas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Funnel!$C$13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F4-4D41-8F4D-B58095BCA4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gapDepth val="95"/>
        <c:shape val="pyramid"/>
        <c:axId val="282966656"/>
        <c:axId val="282980736"/>
        <c:axId val="0"/>
      </c:bar3DChart>
      <c:catAx>
        <c:axId val="282966656"/>
        <c:scaling>
          <c:orientation val="minMax"/>
        </c:scaling>
        <c:delete val="1"/>
        <c:axPos val="t"/>
        <c:numFmt formatCode="General" sourceLinked="0"/>
        <c:majorTickMark val="none"/>
        <c:minorTickMark val="none"/>
        <c:tickLblPos val="nextTo"/>
        <c:crossAx val="282980736"/>
        <c:crosses val="autoZero"/>
        <c:auto val="1"/>
        <c:lblAlgn val="ctr"/>
        <c:lblOffset val="100"/>
        <c:noMultiLvlLbl val="0"/>
      </c:catAx>
      <c:valAx>
        <c:axId val="282980736"/>
        <c:scaling>
          <c:orientation val="maxMin"/>
        </c:scaling>
        <c:delete val="1"/>
        <c:axPos val="l"/>
        <c:numFmt formatCode="0%" sourceLinked="1"/>
        <c:majorTickMark val="none"/>
        <c:minorTickMark val="none"/>
        <c:tickLblPos val="nextTo"/>
        <c:crossAx val="2829666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925870377313946"/>
          <c:y val="0.69607155508392338"/>
          <c:w val="0.6838106347817634"/>
          <c:h val="0.28932990197327468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Resultados!A1"/><Relationship Id="rId13" Type="http://schemas.openxmlformats.org/officeDocument/2006/relationships/hyperlink" Target="#'Plan Empresa'!OLE_LINK2"/><Relationship Id="rId3" Type="http://schemas.openxmlformats.org/officeDocument/2006/relationships/hyperlink" Target="#'Resultado x Actividad'!A1"/><Relationship Id="rId7" Type="http://schemas.openxmlformats.org/officeDocument/2006/relationships/hyperlink" Target="#'Personal retribuci&#243;n'!A1"/><Relationship Id="rId12" Type="http://schemas.openxmlformats.org/officeDocument/2006/relationships/hyperlink" Target="#'Resumen nuevo proyecto'!A1"/><Relationship Id="rId17" Type="http://schemas.openxmlformats.org/officeDocument/2006/relationships/hyperlink" Target="#Seguimiento!A1"/><Relationship Id="rId2" Type="http://schemas.openxmlformats.org/officeDocument/2006/relationships/hyperlink" Target="#Balance!A1"/><Relationship Id="rId16" Type="http://schemas.openxmlformats.org/officeDocument/2006/relationships/hyperlink" Target="#'Resumen seguimiento'!A1"/><Relationship Id="rId1" Type="http://schemas.openxmlformats.org/officeDocument/2006/relationships/hyperlink" Target="#'Inversi&#243;n-Financiaci&#243;n'!A1"/><Relationship Id="rId6" Type="http://schemas.openxmlformats.org/officeDocument/2006/relationships/hyperlink" Target="#'Otros Gastos'!A1"/><Relationship Id="rId11" Type="http://schemas.openxmlformats.org/officeDocument/2006/relationships/hyperlink" Target="#Cuestionario!A37"/><Relationship Id="rId5" Type="http://schemas.openxmlformats.org/officeDocument/2006/relationships/hyperlink" Target="#Ventas!A1"/><Relationship Id="rId15" Type="http://schemas.openxmlformats.org/officeDocument/2006/relationships/image" Target="../media/image1.png"/><Relationship Id="rId10" Type="http://schemas.openxmlformats.org/officeDocument/2006/relationships/hyperlink" Target="#'Tesorer&#237;a mensual'!A1"/><Relationship Id="rId4" Type="http://schemas.openxmlformats.org/officeDocument/2006/relationships/hyperlink" Target="#Cat&#225;logo!A1"/><Relationship Id="rId9" Type="http://schemas.openxmlformats.org/officeDocument/2006/relationships/hyperlink" Target="#'Resultados mensuales '!A1"/><Relationship Id="rId14" Type="http://schemas.openxmlformats.org/officeDocument/2006/relationships/hyperlink" Target="#'Ventas diarias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gif"/><Relationship Id="rId2" Type="http://schemas.openxmlformats.org/officeDocument/2006/relationships/image" Target="../media/image4.png"/><Relationship Id="rId1" Type="http://schemas.openxmlformats.org/officeDocument/2006/relationships/hyperlink" Target="#Men&#250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Men&#250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Men&#250;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2.png"/><Relationship Id="rId1" Type="http://schemas.openxmlformats.org/officeDocument/2006/relationships/hyperlink" Target="#Men&#250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Men&#250;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Men&#250;!A1"/><Relationship Id="rId1" Type="http://schemas.openxmlformats.org/officeDocument/2006/relationships/chart" Target="../charts/chart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Men&#250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Men&#250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Men&#250;!A1"/><Relationship Id="rId1" Type="http://schemas.openxmlformats.org/officeDocument/2006/relationships/chart" Target="../charts/chart4.xml"/><Relationship Id="rId4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Men&#250;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Men&#250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hyperlink" Target="#Men&#250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&#250;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&#250;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&#250;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&#250;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svg"/><Relationship Id="rId13" Type="http://schemas.openxmlformats.org/officeDocument/2006/relationships/image" Target="../media/image31.svg"/><Relationship Id="rId3" Type="http://schemas.openxmlformats.org/officeDocument/2006/relationships/hyperlink" Target="#Men&#250;!A1"/><Relationship Id="rId7" Type="http://schemas.openxmlformats.org/officeDocument/2006/relationships/image" Target="../media/image26.png"/><Relationship Id="rId12" Type="http://schemas.openxmlformats.org/officeDocument/2006/relationships/image" Target="../media/image30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25.svg"/><Relationship Id="rId11" Type="http://schemas.openxmlformats.org/officeDocument/2006/relationships/image" Target="../media/image29.svg"/><Relationship Id="rId5" Type="http://schemas.openxmlformats.org/officeDocument/2006/relationships/image" Target="../media/image24.png"/><Relationship Id="rId15" Type="http://schemas.openxmlformats.org/officeDocument/2006/relationships/image" Target="../media/image33.svg"/><Relationship Id="rId10" Type="http://schemas.openxmlformats.org/officeDocument/2006/relationships/image" Target="../media/image28.png"/><Relationship Id="rId4" Type="http://schemas.openxmlformats.org/officeDocument/2006/relationships/image" Target="../media/image2.png"/><Relationship Id="rId9" Type="http://schemas.openxmlformats.org/officeDocument/2006/relationships/hyperlink" Target="#'Inversi&#243;n-Financiaci&#243;n'!A1"/><Relationship Id="rId14" Type="http://schemas.openxmlformats.org/officeDocument/2006/relationships/image" Target="../media/image32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Men&#250;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Men&#250;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hyperlink" Target="#Men&#250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&#250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&#250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Men&#250;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Men&#250;!A1"/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Men&#250;!A1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80867</xdr:colOff>
      <xdr:row>4</xdr:row>
      <xdr:rowOff>15159</xdr:rowOff>
    </xdr:from>
    <xdr:to>
      <xdr:col>2</xdr:col>
      <xdr:colOff>16118</xdr:colOff>
      <xdr:row>4</xdr:row>
      <xdr:rowOff>392722</xdr:rowOff>
    </xdr:to>
    <xdr:sp macro="" textlink="">
      <xdr:nvSpPr>
        <xdr:cNvPr id="2" name="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 rot="10800000" flipV="1">
          <a:off x="872175" y="1231428"/>
          <a:ext cx="1305385" cy="377563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ES" sz="12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Inv-Financ</a:t>
          </a:r>
        </a:p>
      </xdr:txBody>
    </xdr:sp>
    <xdr:clientData/>
  </xdr:twoCellAnchor>
  <xdr:twoCellAnchor>
    <xdr:from>
      <xdr:col>3</xdr:col>
      <xdr:colOff>7327</xdr:colOff>
      <xdr:row>5</xdr:row>
      <xdr:rowOff>95250</xdr:rowOff>
    </xdr:from>
    <xdr:to>
      <xdr:col>4</xdr:col>
      <xdr:colOff>45427</xdr:colOff>
      <xdr:row>6</xdr:row>
      <xdr:rowOff>388326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315308" y="1699846"/>
          <a:ext cx="1474177" cy="395653"/>
        </a:xfrm>
        <a:prstGeom prst="rect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400" b="1" baseline="0"/>
            <a:t>Balance</a:t>
          </a:r>
          <a:endParaRPr lang="es-ES" sz="1400" b="1"/>
        </a:p>
      </xdr:txBody>
    </xdr:sp>
    <xdr:clientData/>
  </xdr:twoCellAnchor>
  <xdr:twoCellAnchor>
    <xdr:from>
      <xdr:col>3</xdr:col>
      <xdr:colOff>19050</xdr:colOff>
      <xdr:row>7</xdr:row>
      <xdr:rowOff>87255</xdr:rowOff>
    </xdr:from>
    <xdr:to>
      <xdr:col>4</xdr:col>
      <xdr:colOff>38099</xdr:colOff>
      <xdr:row>8</xdr:row>
      <xdr:rowOff>410307</xdr:rowOff>
    </xdr:to>
    <xdr:sp macro="" textlink="">
      <xdr:nvSpPr>
        <xdr:cNvPr id="4" name="3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327031" y="2212063"/>
          <a:ext cx="1455126" cy="425629"/>
        </a:xfrm>
        <a:prstGeom prst="rect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400" b="1" baseline="0"/>
            <a:t>Rtdo.activ</a:t>
          </a:r>
          <a:endParaRPr lang="es-ES" sz="1400" b="1"/>
        </a:p>
      </xdr:txBody>
    </xdr:sp>
    <xdr:clientData/>
  </xdr:twoCellAnchor>
  <xdr:twoCellAnchor>
    <xdr:from>
      <xdr:col>1</xdr:col>
      <xdr:colOff>88509</xdr:colOff>
      <xdr:row>5</xdr:row>
      <xdr:rowOff>77665</xdr:rowOff>
    </xdr:from>
    <xdr:to>
      <xdr:col>2</xdr:col>
      <xdr:colOff>14654</xdr:colOff>
      <xdr:row>6</xdr:row>
      <xdr:rowOff>373672</xdr:rowOff>
    </xdr:to>
    <xdr:sp macro="" textlink="">
      <xdr:nvSpPr>
        <xdr:cNvPr id="5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879817" y="1711569"/>
          <a:ext cx="1296279" cy="39858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ES" sz="9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Catálogo</a:t>
          </a:r>
        </a:p>
        <a:p>
          <a:pPr marL="0" indent="0" algn="ctr"/>
          <a:r>
            <a:rPr lang="es-ES" sz="9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Gastos Variables</a:t>
          </a:r>
        </a:p>
      </xdr:txBody>
    </xdr:sp>
    <xdr:clientData/>
  </xdr:twoCellAnchor>
  <xdr:twoCellAnchor>
    <xdr:from>
      <xdr:col>1</xdr:col>
      <xdr:colOff>107443</xdr:colOff>
      <xdr:row>12</xdr:row>
      <xdr:rowOff>3663</xdr:rowOff>
    </xdr:from>
    <xdr:to>
      <xdr:col>1</xdr:col>
      <xdr:colOff>952500</xdr:colOff>
      <xdr:row>13</xdr:row>
      <xdr:rowOff>7327</xdr:rowOff>
    </xdr:to>
    <xdr:sp macro="" textlink="">
      <xdr:nvSpPr>
        <xdr:cNvPr id="6" name="5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898751" y="3271471"/>
          <a:ext cx="845057" cy="42129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ES" sz="12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Ventas </a:t>
          </a:r>
        </a:p>
      </xdr:txBody>
    </xdr:sp>
    <xdr:clientData/>
  </xdr:twoCellAnchor>
  <xdr:twoCellAnchor>
    <xdr:from>
      <xdr:col>1</xdr:col>
      <xdr:colOff>95778</xdr:colOff>
      <xdr:row>9</xdr:row>
      <xdr:rowOff>96715</xdr:rowOff>
    </xdr:from>
    <xdr:to>
      <xdr:col>2</xdr:col>
      <xdr:colOff>43229</xdr:colOff>
      <xdr:row>11</xdr:row>
      <xdr:rowOff>3663</xdr:rowOff>
    </xdr:to>
    <xdr:sp macro="" textlink="">
      <xdr:nvSpPr>
        <xdr:cNvPr id="7" name="6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887086" y="2771042"/>
          <a:ext cx="1317585" cy="427159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ES" sz="12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Otros Gastos </a:t>
          </a:r>
        </a:p>
      </xdr:txBody>
    </xdr:sp>
    <xdr:clientData/>
  </xdr:twoCellAnchor>
  <xdr:twoCellAnchor>
    <xdr:from>
      <xdr:col>1</xdr:col>
      <xdr:colOff>90854</xdr:colOff>
      <xdr:row>7</xdr:row>
      <xdr:rowOff>68140</xdr:rowOff>
    </xdr:from>
    <xdr:to>
      <xdr:col>2</xdr:col>
      <xdr:colOff>33704</xdr:colOff>
      <xdr:row>8</xdr:row>
      <xdr:rowOff>402248</xdr:rowOff>
    </xdr:to>
    <xdr:sp macro="" textlink="">
      <xdr:nvSpPr>
        <xdr:cNvPr id="8" name="7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882162" y="2222255"/>
          <a:ext cx="1312984" cy="43668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ES" sz="12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Personal </a:t>
          </a:r>
        </a:p>
      </xdr:txBody>
    </xdr:sp>
    <xdr:clientData/>
  </xdr:twoCellAnchor>
  <xdr:twoCellAnchor>
    <xdr:from>
      <xdr:col>3</xdr:col>
      <xdr:colOff>13921</xdr:colOff>
      <xdr:row>9</xdr:row>
      <xdr:rowOff>100814</xdr:rowOff>
    </xdr:from>
    <xdr:to>
      <xdr:col>3</xdr:col>
      <xdr:colOff>710711</xdr:colOff>
      <xdr:row>11</xdr:row>
      <xdr:rowOff>7327</xdr:rowOff>
    </xdr:to>
    <xdr:sp macro="" textlink="">
      <xdr:nvSpPr>
        <xdr:cNvPr id="9" name="8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321902" y="2745833"/>
          <a:ext cx="696790" cy="426725"/>
        </a:xfrm>
        <a:prstGeom prst="rect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000" b="1" baseline="0"/>
            <a:t>Rtdo.3 años</a:t>
          </a:r>
          <a:endParaRPr lang="es-ES" sz="1000" b="1"/>
        </a:p>
      </xdr:txBody>
    </xdr:sp>
    <xdr:clientData/>
  </xdr:twoCellAnchor>
  <xdr:twoCellAnchor>
    <xdr:from>
      <xdr:col>3</xdr:col>
      <xdr:colOff>754673</xdr:colOff>
      <xdr:row>9</xdr:row>
      <xdr:rowOff>95250</xdr:rowOff>
    </xdr:from>
    <xdr:to>
      <xdr:col>4</xdr:col>
      <xdr:colOff>21249</xdr:colOff>
      <xdr:row>11</xdr:row>
      <xdr:rowOff>5862</xdr:rowOff>
    </xdr:to>
    <xdr:sp macro="" textlink="">
      <xdr:nvSpPr>
        <xdr:cNvPr id="10" name="9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3062654" y="2740269"/>
          <a:ext cx="702653" cy="430824"/>
        </a:xfrm>
        <a:prstGeom prst="rect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900" b="1" baseline="0"/>
            <a:t>Rtdo.mens</a:t>
          </a:r>
          <a:endParaRPr lang="es-ES" sz="900" b="1"/>
        </a:p>
      </xdr:txBody>
    </xdr:sp>
    <xdr:clientData/>
  </xdr:twoCellAnchor>
  <xdr:twoCellAnchor>
    <xdr:from>
      <xdr:col>3</xdr:col>
      <xdr:colOff>14654</xdr:colOff>
      <xdr:row>11</xdr:row>
      <xdr:rowOff>94518</xdr:rowOff>
    </xdr:from>
    <xdr:to>
      <xdr:col>4</xdr:col>
      <xdr:colOff>28576</xdr:colOff>
      <xdr:row>13</xdr:row>
      <xdr:rowOff>3707</xdr:rowOff>
    </xdr:to>
    <xdr:sp macro="" textlink="">
      <xdr:nvSpPr>
        <xdr:cNvPr id="11" name="10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2322635" y="3289056"/>
          <a:ext cx="1449999" cy="429401"/>
        </a:xfrm>
        <a:prstGeom prst="rect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400" b="1" baseline="0"/>
            <a:t>Tesorería mens</a:t>
          </a:r>
          <a:r>
            <a:rPr lang="es-ES" sz="1100" b="1" baseline="0"/>
            <a:t>.</a:t>
          </a:r>
          <a:endParaRPr lang="es-ES" sz="1100" b="1"/>
        </a:p>
      </xdr:txBody>
    </xdr:sp>
    <xdr:clientData/>
  </xdr:twoCellAnchor>
  <xdr:twoCellAnchor>
    <xdr:from>
      <xdr:col>1</xdr:col>
      <xdr:colOff>90853</xdr:colOff>
      <xdr:row>2</xdr:row>
      <xdr:rowOff>60813</xdr:rowOff>
    </xdr:from>
    <xdr:to>
      <xdr:col>2</xdr:col>
      <xdr:colOff>33702</xdr:colOff>
      <xdr:row>3</xdr:row>
      <xdr:rowOff>3663</xdr:rowOff>
    </xdr:to>
    <xdr:sp macro="" textlink="">
      <xdr:nvSpPr>
        <xdr:cNvPr id="12" name="11 Rectángul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882161" y="764198"/>
          <a:ext cx="1312983" cy="36048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 b="1">
              <a:solidFill>
                <a:sysClr val="windowText" lastClr="000000"/>
              </a:solidFill>
            </a:rPr>
            <a:t>Cuestionario</a:t>
          </a:r>
        </a:p>
      </xdr:txBody>
    </xdr:sp>
    <xdr:clientData/>
  </xdr:twoCellAnchor>
  <xdr:twoCellAnchor>
    <xdr:from>
      <xdr:col>3</xdr:col>
      <xdr:colOff>1</xdr:colOff>
      <xdr:row>2</xdr:row>
      <xdr:rowOff>36634</xdr:rowOff>
    </xdr:from>
    <xdr:to>
      <xdr:col>4</xdr:col>
      <xdr:colOff>49695</xdr:colOff>
      <xdr:row>3</xdr:row>
      <xdr:rowOff>21980</xdr:rowOff>
    </xdr:to>
    <xdr:sp macro="" textlink="">
      <xdr:nvSpPr>
        <xdr:cNvPr id="21" name="20 Rectángul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2228023" y="715808"/>
          <a:ext cx="1490868" cy="407759"/>
        </a:xfrm>
        <a:prstGeom prst="rect">
          <a:avLst/>
        </a:prstGeom>
        <a:solidFill>
          <a:srgbClr val="C0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 b="1"/>
            <a:t>Resumen ejecutivo </a:t>
          </a:r>
        </a:p>
      </xdr:txBody>
    </xdr:sp>
    <xdr:clientData/>
  </xdr:twoCellAnchor>
  <xdr:twoCellAnchor>
    <xdr:from>
      <xdr:col>3</xdr:col>
      <xdr:colOff>7327</xdr:colOff>
      <xdr:row>4</xdr:row>
      <xdr:rowOff>27841</xdr:rowOff>
    </xdr:from>
    <xdr:to>
      <xdr:col>4</xdr:col>
      <xdr:colOff>43961</xdr:colOff>
      <xdr:row>4</xdr:row>
      <xdr:rowOff>410306</xdr:rowOff>
    </xdr:to>
    <xdr:sp macro="" textlink="">
      <xdr:nvSpPr>
        <xdr:cNvPr id="14" name="13 Rectángul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2315308" y="1214803"/>
          <a:ext cx="1472711" cy="382465"/>
        </a:xfrm>
        <a:prstGeom prst="rect">
          <a:avLst/>
        </a:prstGeom>
        <a:solidFill>
          <a:srgbClr val="C0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 b="1"/>
            <a:t>Plan</a:t>
          </a:r>
          <a:r>
            <a:rPr lang="es-ES" sz="1200" b="1" baseline="0"/>
            <a:t> Viabilidad</a:t>
          </a:r>
          <a:endParaRPr lang="es-ES" sz="1200" b="1"/>
        </a:p>
      </xdr:txBody>
    </xdr:sp>
    <xdr:clientData/>
  </xdr:twoCellAnchor>
  <xdr:twoCellAnchor>
    <xdr:from>
      <xdr:col>1</xdr:col>
      <xdr:colOff>989134</xdr:colOff>
      <xdr:row>12</xdr:row>
      <xdr:rowOff>0</xdr:rowOff>
    </xdr:from>
    <xdr:to>
      <xdr:col>2</xdr:col>
      <xdr:colOff>36636</xdr:colOff>
      <xdr:row>13</xdr:row>
      <xdr:rowOff>3664</xdr:rowOff>
    </xdr:to>
    <xdr:sp macro="" textlink="">
      <xdr:nvSpPr>
        <xdr:cNvPr id="16" name="15 Rectángulo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1780442" y="3267808"/>
          <a:ext cx="417636" cy="42129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ES" sz="7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Prev. Diaria</a:t>
          </a:r>
        </a:p>
      </xdr:txBody>
    </xdr:sp>
    <xdr:clientData/>
  </xdr:twoCellAnchor>
  <xdr:twoCellAnchor editAs="oneCell">
    <xdr:from>
      <xdr:col>0</xdr:col>
      <xdr:colOff>590549</xdr:colOff>
      <xdr:row>17</xdr:row>
      <xdr:rowOff>113011</xdr:rowOff>
    </xdr:from>
    <xdr:to>
      <xdr:col>13</xdr:col>
      <xdr:colOff>333788</xdr:colOff>
      <xdr:row>40</xdr:row>
      <xdr:rowOff>81672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90549" y="4589761"/>
          <a:ext cx="8334789" cy="730661"/>
        </a:xfrm>
        <a:prstGeom prst="rect">
          <a:avLst/>
        </a:prstGeom>
      </xdr:spPr>
    </xdr:pic>
    <xdr:clientData/>
  </xdr:twoCellAnchor>
  <xdr:twoCellAnchor>
    <xdr:from>
      <xdr:col>3</xdr:col>
      <xdr:colOff>33131</xdr:colOff>
      <xdr:row>13</xdr:row>
      <xdr:rowOff>81359</xdr:rowOff>
    </xdr:from>
    <xdr:to>
      <xdr:col>4</xdr:col>
      <xdr:colOff>16565</xdr:colOff>
      <xdr:row>16</xdr:row>
      <xdr:rowOff>83270</xdr:rowOff>
    </xdr:to>
    <xdr:sp macro="" textlink="">
      <xdr:nvSpPr>
        <xdr:cNvPr id="17" name="20 Rectángulo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44C20E21-C7A1-491C-ABA1-0430ED0DBF10}"/>
            </a:ext>
          </a:extLst>
        </xdr:cNvPr>
        <xdr:cNvSpPr/>
      </xdr:nvSpPr>
      <xdr:spPr>
        <a:xfrm>
          <a:off x="2261153" y="3833381"/>
          <a:ext cx="1424608" cy="407759"/>
        </a:xfrm>
        <a:prstGeom prst="rect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050" b="1"/>
            <a:t>Resumen</a:t>
          </a:r>
          <a:r>
            <a:rPr lang="es-ES" sz="1050" b="1" baseline="0"/>
            <a:t> s</a:t>
          </a:r>
          <a:r>
            <a:rPr lang="es-ES" sz="1050" b="1"/>
            <a:t>eguimiento</a:t>
          </a:r>
          <a:endParaRPr lang="es-ES" sz="1100" b="1"/>
        </a:p>
      </xdr:txBody>
    </xdr:sp>
    <xdr:clientData/>
  </xdr:twoCellAnchor>
  <xdr:twoCellAnchor>
    <xdr:from>
      <xdr:col>1</xdr:col>
      <xdr:colOff>99390</xdr:colOff>
      <xdr:row>13</xdr:row>
      <xdr:rowOff>82826</xdr:rowOff>
    </xdr:from>
    <xdr:to>
      <xdr:col>2</xdr:col>
      <xdr:colOff>33130</xdr:colOff>
      <xdr:row>16</xdr:row>
      <xdr:rowOff>94773</xdr:rowOff>
    </xdr:to>
    <xdr:sp macro="" textlink="">
      <xdr:nvSpPr>
        <xdr:cNvPr id="18" name="5 Rectángul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CEE8400-07A5-4978-B01B-18CE1313A214}"/>
            </a:ext>
          </a:extLst>
        </xdr:cNvPr>
        <xdr:cNvSpPr/>
      </xdr:nvSpPr>
      <xdr:spPr>
        <a:xfrm>
          <a:off x="919368" y="3834848"/>
          <a:ext cx="1200979" cy="41779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ES" sz="12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Seguimiento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134471</xdr:colOff>
      <xdr:row>0</xdr:row>
      <xdr:rowOff>85725</xdr:rowOff>
    </xdr:from>
    <xdr:to>
      <xdr:col>27</xdr:col>
      <xdr:colOff>121213</xdr:colOff>
      <xdr:row>1</xdr:row>
      <xdr:rowOff>377638</xdr:rowOff>
    </xdr:to>
    <xdr:pic>
      <xdr:nvPicPr>
        <xdr:cNvPr id="2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9824" y="85725"/>
          <a:ext cx="558242" cy="482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247650</xdr:colOff>
      <xdr:row>1</xdr:row>
      <xdr:rowOff>9525</xdr:rowOff>
    </xdr:from>
    <xdr:to>
      <xdr:col>34</xdr:col>
      <xdr:colOff>200025</xdr:colOff>
      <xdr:row>1</xdr:row>
      <xdr:rowOff>390525</xdr:rowOff>
    </xdr:to>
    <xdr:sp macro="[0]!Pegarclientes" textlink="">
      <xdr:nvSpPr>
        <xdr:cNvPr id="4" name="3 Rectángulo redondead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7145000" y="200025"/>
          <a:ext cx="1752600" cy="381000"/>
        </a:xfrm>
        <a:prstGeom prst="round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ES" sz="1200" b="1"/>
            <a:t>Traspasar</a:t>
          </a:r>
          <a:r>
            <a:rPr lang="es-ES" sz="1200" b="1" baseline="0"/>
            <a:t> a ventas</a:t>
          </a:r>
          <a:endParaRPr lang="es-ES" sz="1200" b="1"/>
        </a:p>
      </xdr:txBody>
    </xdr:sp>
    <xdr:clientData/>
  </xdr:twoCellAnchor>
  <xdr:twoCellAnchor>
    <xdr:from>
      <xdr:col>0</xdr:col>
      <xdr:colOff>2066925</xdr:colOff>
      <xdr:row>371</xdr:row>
      <xdr:rowOff>180975</xdr:rowOff>
    </xdr:from>
    <xdr:to>
      <xdr:col>3</xdr:col>
      <xdr:colOff>114301</xdr:colOff>
      <xdr:row>375</xdr:row>
      <xdr:rowOff>9525</xdr:rowOff>
    </xdr:to>
    <xdr:sp macro="[0]!Pegarclientes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066925" y="71180325"/>
          <a:ext cx="1171576" cy="590550"/>
        </a:xfrm>
        <a:prstGeom prst="round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ES" sz="1200" b="1"/>
            <a:t>Traspasar</a:t>
          </a:r>
          <a:r>
            <a:rPr lang="es-ES" sz="1200" b="1" baseline="0"/>
            <a:t> a ventas</a:t>
          </a:r>
          <a:endParaRPr lang="es-ES" sz="1200" b="1"/>
        </a:p>
      </xdr:txBody>
    </xdr:sp>
    <xdr:clientData/>
  </xdr:twoCellAnchor>
  <xdr:twoCellAnchor editAs="oneCell">
    <xdr:from>
      <xdr:col>0</xdr:col>
      <xdr:colOff>1019175</xdr:colOff>
      <xdr:row>372</xdr:row>
      <xdr:rowOff>9525</xdr:rowOff>
    </xdr:from>
    <xdr:to>
      <xdr:col>0</xdr:col>
      <xdr:colOff>1749989</xdr:colOff>
      <xdr:row>375</xdr:row>
      <xdr:rowOff>57150</xdr:rowOff>
    </xdr:to>
    <xdr:pic>
      <xdr:nvPicPr>
        <xdr:cNvPr id="7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71199375"/>
          <a:ext cx="730814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0</xdr:colOff>
      <xdr:row>13</xdr:row>
      <xdr:rowOff>0</xdr:rowOff>
    </xdr:from>
    <xdr:to>
      <xdr:col>36</xdr:col>
      <xdr:colOff>9525</xdr:colOff>
      <xdr:row>13</xdr:row>
      <xdr:rowOff>9525</xdr:rowOff>
    </xdr:to>
    <xdr:pic>
      <xdr:nvPicPr>
        <xdr:cNvPr id="8" name="7 Imagen" descr="https://pubads.g.doubleclick.net/activity;dc_iu=/4900/pixel.bfp.vocento;ord=9162735465900.4;dc_seg=76171930?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2725" y="2667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100853</xdr:colOff>
      <xdr:row>0</xdr:row>
      <xdr:rowOff>33618</xdr:rowOff>
    </xdr:from>
    <xdr:to>
      <xdr:col>10</xdr:col>
      <xdr:colOff>586628</xdr:colOff>
      <xdr:row>0</xdr:row>
      <xdr:rowOff>519393</xdr:rowOff>
    </xdr:to>
    <xdr:pic>
      <xdr:nvPicPr>
        <xdr:cNvPr id="2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2382" y="33618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738468</xdr:colOff>
      <xdr:row>0</xdr:row>
      <xdr:rowOff>230466</xdr:rowOff>
    </xdr:from>
    <xdr:to>
      <xdr:col>19</xdr:col>
      <xdr:colOff>739589</xdr:colOff>
      <xdr:row>2</xdr:row>
      <xdr:rowOff>33617</xdr:rowOff>
    </xdr:to>
    <xdr:pic>
      <xdr:nvPicPr>
        <xdr:cNvPr id="2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1262" y="230466"/>
          <a:ext cx="920003" cy="778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85725</xdr:colOff>
      <xdr:row>0</xdr:row>
      <xdr:rowOff>95250</xdr:rowOff>
    </xdr:from>
    <xdr:to>
      <xdr:col>9</xdr:col>
      <xdr:colOff>571500</xdr:colOff>
      <xdr:row>2</xdr:row>
      <xdr:rowOff>76200</xdr:rowOff>
    </xdr:to>
    <xdr:pic>
      <xdr:nvPicPr>
        <xdr:cNvPr id="2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95250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9531</xdr:colOff>
      <xdr:row>30</xdr:row>
      <xdr:rowOff>57150</xdr:rowOff>
    </xdr:from>
    <xdr:to>
      <xdr:col>10</xdr:col>
      <xdr:colOff>361956</xdr:colOff>
      <xdr:row>41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</xdr:rowOff>
    </xdr:from>
    <xdr:to>
      <xdr:col>0</xdr:col>
      <xdr:colOff>419099</xdr:colOff>
      <xdr:row>1</xdr:row>
      <xdr:rowOff>57149</xdr:rowOff>
    </xdr:to>
    <xdr:pic>
      <xdr:nvPicPr>
        <xdr:cNvPr id="2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"/>
          <a:ext cx="361949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590549</xdr:colOff>
      <xdr:row>48</xdr:row>
      <xdr:rowOff>85725</xdr:rowOff>
    </xdr:from>
    <xdr:to>
      <xdr:col>12</xdr:col>
      <xdr:colOff>295274</xdr:colOff>
      <xdr:row>53</xdr:row>
      <xdr:rowOff>28575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95250</xdr:colOff>
      <xdr:row>0</xdr:row>
      <xdr:rowOff>63500</xdr:rowOff>
    </xdr:from>
    <xdr:to>
      <xdr:col>0</xdr:col>
      <xdr:colOff>698500</xdr:colOff>
      <xdr:row>2</xdr:row>
      <xdr:rowOff>31750</xdr:rowOff>
    </xdr:to>
    <xdr:pic>
      <xdr:nvPicPr>
        <xdr:cNvPr id="4" name="Picture 1" descr="MC900432680[1]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3500"/>
          <a:ext cx="60325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387501</xdr:colOff>
      <xdr:row>0</xdr:row>
      <xdr:rowOff>70096</xdr:rowOff>
    </xdr:from>
    <xdr:to>
      <xdr:col>14</xdr:col>
      <xdr:colOff>393284</xdr:colOff>
      <xdr:row>4</xdr:row>
      <xdr:rowOff>38891</xdr:rowOff>
    </xdr:to>
    <xdr:pic>
      <xdr:nvPicPr>
        <xdr:cNvPr id="7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926" y="70096"/>
          <a:ext cx="1034483" cy="921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2054</xdr:colOff>
      <xdr:row>5</xdr:row>
      <xdr:rowOff>43556</xdr:rowOff>
    </xdr:from>
    <xdr:to>
      <xdr:col>14</xdr:col>
      <xdr:colOff>289860</xdr:colOff>
      <xdr:row>5</xdr:row>
      <xdr:rowOff>361055</xdr:rowOff>
    </xdr:to>
    <xdr:sp macro="[0]!Resumenejecutivo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/>
      </xdr:nvSpPr>
      <xdr:spPr>
        <a:xfrm>
          <a:off x="9946154" y="1234181"/>
          <a:ext cx="925981" cy="317499"/>
        </a:xfrm>
        <a:prstGeom prst="round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ES" sz="1200" b="1"/>
            <a:t>Generar PDF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606576</xdr:colOff>
      <xdr:row>0</xdr:row>
      <xdr:rowOff>60571</xdr:rowOff>
    </xdr:from>
    <xdr:to>
      <xdr:col>15</xdr:col>
      <xdr:colOff>240884</xdr:colOff>
      <xdr:row>4</xdr:row>
      <xdr:rowOff>29366</xdr:rowOff>
    </xdr:to>
    <xdr:pic>
      <xdr:nvPicPr>
        <xdr:cNvPr id="2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D3EDAB-6359-442D-99AD-4BE07094F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5376" y="60571"/>
          <a:ext cx="1034483" cy="921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592604</xdr:colOff>
      <xdr:row>4</xdr:row>
      <xdr:rowOff>224531</xdr:rowOff>
    </xdr:from>
    <xdr:to>
      <xdr:col>15</xdr:col>
      <xdr:colOff>533400</xdr:colOff>
      <xdr:row>5</xdr:row>
      <xdr:rowOff>303905</xdr:rowOff>
    </xdr:to>
    <xdr:sp macro="[0]!Resumenejecutivo" textlink="">
      <xdr:nvSpPr>
        <xdr:cNvPr id="5" name="7 Rectángulo redondeado">
          <a:extLst>
            <a:ext uri="{FF2B5EF4-FFF2-40B4-BE49-F238E27FC236}">
              <a16:creationId xmlns:a16="http://schemas.microsoft.com/office/drawing/2014/main" id="{8E663421-394E-40A8-A0E6-DB3D9AFC54A6}"/>
            </a:ext>
          </a:extLst>
        </xdr:cNvPr>
        <xdr:cNvSpPr/>
      </xdr:nvSpPr>
      <xdr:spPr>
        <a:xfrm>
          <a:off x="10041404" y="1177031"/>
          <a:ext cx="1340971" cy="317499"/>
        </a:xfrm>
        <a:prstGeom prst="round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ES" sz="1200" b="1"/>
            <a:t>Generar PDF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114759</xdr:colOff>
      <xdr:row>403</xdr:row>
      <xdr:rowOff>413133</xdr:rowOff>
    </xdr:from>
    <xdr:to>
      <xdr:col>9</xdr:col>
      <xdr:colOff>677078</xdr:colOff>
      <xdr:row>403</xdr:row>
      <xdr:rowOff>1927952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733237</xdr:colOff>
      <xdr:row>0</xdr:row>
      <xdr:rowOff>120009</xdr:rowOff>
    </xdr:from>
    <xdr:to>
      <xdr:col>12</xdr:col>
      <xdr:colOff>122451</xdr:colOff>
      <xdr:row>1</xdr:row>
      <xdr:rowOff>785103</xdr:rowOff>
    </xdr:to>
    <xdr:pic>
      <xdr:nvPicPr>
        <xdr:cNvPr id="8" name="Picture 1" descr="MC900432680[1]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2067" y="120009"/>
          <a:ext cx="909161" cy="908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367490</xdr:colOff>
      <xdr:row>18</xdr:row>
      <xdr:rowOff>116191</xdr:rowOff>
    </xdr:from>
    <xdr:to>
      <xdr:col>7</xdr:col>
      <xdr:colOff>598727</xdr:colOff>
      <xdr:row>24</xdr:row>
      <xdr:rowOff>15875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9990" y="7101191"/>
          <a:ext cx="1501237" cy="1328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739708</xdr:colOff>
      <xdr:row>2</xdr:row>
      <xdr:rowOff>50665</xdr:rowOff>
    </xdr:from>
    <xdr:to>
      <xdr:col>12</xdr:col>
      <xdr:colOff>263457</xdr:colOff>
      <xdr:row>3</xdr:row>
      <xdr:rowOff>101330</xdr:rowOff>
    </xdr:to>
    <xdr:sp macro="[0]!GenerarPE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7508538" y="1327420"/>
          <a:ext cx="1043696" cy="810639"/>
        </a:xfrm>
        <a:prstGeom prst="round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ES" sz="1200" b="1"/>
            <a:t>Generar Plan Empresa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323850</xdr:colOff>
      <xdr:row>0</xdr:row>
      <xdr:rowOff>9525</xdr:rowOff>
    </xdr:from>
    <xdr:to>
      <xdr:col>8</xdr:col>
      <xdr:colOff>809625</xdr:colOff>
      <xdr:row>1</xdr:row>
      <xdr:rowOff>257175</xdr:rowOff>
    </xdr:to>
    <xdr:pic>
      <xdr:nvPicPr>
        <xdr:cNvPr id="2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9525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69160</xdr:colOff>
      <xdr:row>1</xdr:row>
      <xdr:rowOff>0</xdr:rowOff>
    </xdr:from>
    <xdr:to>
      <xdr:col>11</xdr:col>
      <xdr:colOff>631134</xdr:colOff>
      <xdr:row>5</xdr:row>
      <xdr:rowOff>57150</xdr:rowOff>
    </xdr:to>
    <xdr:pic>
      <xdr:nvPicPr>
        <xdr:cNvPr id="3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6856" y="0"/>
          <a:ext cx="561974" cy="512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</xdr:row>
      <xdr:rowOff>0</xdr:rowOff>
    </xdr:from>
    <xdr:to>
      <xdr:col>14</xdr:col>
      <xdr:colOff>0</xdr:colOff>
      <xdr:row>4</xdr:row>
      <xdr:rowOff>133350</xdr:rowOff>
    </xdr:to>
    <xdr:pic>
      <xdr:nvPicPr>
        <xdr:cNvPr id="5" name="12 Imagen" descr="C:\Documents and Settings\jmartinez\Configuración local\Archivos temporales de Internet\Content.IE5\IK0S77FH\MC900442142[1]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4775" y="266700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723485</xdr:colOff>
      <xdr:row>1</xdr:row>
      <xdr:rowOff>40586</xdr:rowOff>
    </xdr:from>
    <xdr:to>
      <xdr:col>12</xdr:col>
      <xdr:colOff>704436</xdr:colOff>
      <xdr:row>4</xdr:row>
      <xdr:rowOff>135836</xdr:rowOff>
    </xdr:to>
    <xdr:sp macro="[0]!Guardar" textlink="">
      <xdr:nvSpPr>
        <xdr:cNvPr id="4" name="3 Rectángulo redondead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0977355" y="40586"/>
          <a:ext cx="742951" cy="360293"/>
        </a:xfrm>
        <a:prstGeom prst="round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ES" sz="1200" b="1"/>
            <a:t>Guardar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1</xdr:row>
      <xdr:rowOff>19050</xdr:rowOff>
    </xdr:from>
    <xdr:to>
      <xdr:col>8</xdr:col>
      <xdr:colOff>771525</xdr:colOff>
      <xdr:row>2</xdr:row>
      <xdr:rowOff>190500</xdr:rowOff>
    </xdr:to>
    <xdr:pic>
      <xdr:nvPicPr>
        <xdr:cNvPr id="2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9050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180975</xdr:colOff>
      <xdr:row>0</xdr:row>
      <xdr:rowOff>180975</xdr:rowOff>
    </xdr:from>
    <xdr:to>
      <xdr:col>14</xdr:col>
      <xdr:colOff>742949</xdr:colOff>
      <xdr:row>3</xdr:row>
      <xdr:rowOff>28575</xdr:rowOff>
    </xdr:to>
    <xdr:pic>
      <xdr:nvPicPr>
        <xdr:cNvPr id="2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180975"/>
          <a:ext cx="561974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276225</xdr:colOff>
      <xdr:row>0</xdr:row>
      <xdr:rowOff>95250</xdr:rowOff>
    </xdr:from>
    <xdr:to>
      <xdr:col>6</xdr:col>
      <xdr:colOff>76199</xdr:colOff>
      <xdr:row>2</xdr:row>
      <xdr:rowOff>76200</xdr:rowOff>
    </xdr:to>
    <xdr:pic>
      <xdr:nvPicPr>
        <xdr:cNvPr id="2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95250"/>
          <a:ext cx="561974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</xdr:colOff>
      <xdr:row>0</xdr:row>
      <xdr:rowOff>114300</xdr:rowOff>
    </xdr:from>
    <xdr:to>
      <xdr:col>3</xdr:col>
      <xdr:colOff>676274</xdr:colOff>
      <xdr:row>3</xdr:row>
      <xdr:rowOff>21291</xdr:rowOff>
    </xdr:to>
    <xdr:pic>
      <xdr:nvPicPr>
        <xdr:cNvPr id="2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14300"/>
          <a:ext cx="561974" cy="516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361950</xdr:colOff>
      <xdr:row>1</xdr:row>
      <xdr:rowOff>95250</xdr:rowOff>
    </xdr:from>
    <xdr:to>
      <xdr:col>10</xdr:col>
      <xdr:colOff>476250</xdr:colOff>
      <xdr:row>3</xdr:row>
      <xdr:rowOff>9525</xdr:rowOff>
    </xdr:to>
    <xdr:sp macro="" textlink="Cuestionario!C5">
      <xdr:nvSpPr>
        <xdr:cNvPr id="16" name="15 CuadroTexto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 txBox="1"/>
      </xdr:nvSpPr>
      <xdr:spPr>
        <a:xfrm>
          <a:off x="571500" y="552450"/>
          <a:ext cx="4838700" cy="295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4DF4C689-69CA-4540-BF0C-A981E525F1E4}" type="TxLink">
            <a:rPr lang="en-US" sz="16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es-ES" sz="1400"/>
        </a:p>
      </xdr:txBody>
    </xdr:sp>
    <xdr:clientData/>
  </xdr:twoCellAnchor>
  <xdr:twoCellAnchor>
    <xdr:from>
      <xdr:col>1</xdr:col>
      <xdr:colOff>9525</xdr:colOff>
      <xdr:row>5</xdr:row>
      <xdr:rowOff>142875</xdr:rowOff>
    </xdr:from>
    <xdr:to>
      <xdr:col>4</xdr:col>
      <xdr:colOff>723900</xdr:colOff>
      <xdr:row>7</xdr:row>
      <xdr:rowOff>314325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219075" y="1409700"/>
          <a:ext cx="268605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1</xdr:col>
      <xdr:colOff>0</xdr:colOff>
      <xdr:row>9</xdr:row>
      <xdr:rowOff>190499</xdr:rowOff>
    </xdr:from>
    <xdr:to>
      <xdr:col>4</xdr:col>
      <xdr:colOff>714375</xdr:colOff>
      <xdr:row>14</xdr:row>
      <xdr:rowOff>276225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/>
      </xdr:nvSpPr>
      <xdr:spPr>
        <a:xfrm>
          <a:off x="114300" y="3257549"/>
          <a:ext cx="2686050" cy="16002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7</xdr:col>
      <xdr:colOff>57150</xdr:colOff>
      <xdr:row>5</xdr:row>
      <xdr:rowOff>190499</xdr:rowOff>
    </xdr:from>
    <xdr:to>
      <xdr:col>10</xdr:col>
      <xdr:colOff>962025</xdr:colOff>
      <xdr:row>10</xdr:row>
      <xdr:rowOff>476249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/>
      </xdr:nvSpPr>
      <xdr:spPr>
        <a:xfrm>
          <a:off x="3314700" y="1457324"/>
          <a:ext cx="2581275" cy="2276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1</xdr:col>
      <xdr:colOff>0</xdr:colOff>
      <xdr:row>17</xdr:row>
      <xdr:rowOff>161925</xdr:rowOff>
    </xdr:from>
    <xdr:to>
      <xdr:col>4</xdr:col>
      <xdr:colOff>714375</xdr:colOff>
      <xdr:row>24</xdr:row>
      <xdr:rowOff>104775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/>
      </xdr:nvSpPr>
      <xdr:spPr>
        <a:xfrm>
          <a:off x="209550" y="6057900"/>
          <a:ext cx="2686050" cy="1743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7</xdr:col>
      <xdr:colOff>0</xdr:colOff>
      <xdr:row>21</xdr:row>
      <xdr:rowOff>161925</xdr:rowOff>
    </xdr:from>
    <xdr:to>
      <xdr:col>10</xdr:col>
      <xdr:colOff>1066800</xdr:colOff>
      <xdr:row>30</xdr:row>
      <xdr:rowOff>123825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/>
      </xdr:nvSpPr>
      <xdr:spPr>
        <a:xfrm>
          <a:off x="3257550" y="7029450"/>
          <a:ext cx="2743200" cy="2362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>
    <xdr:from>
      <xdr:col>0</xdr:col>
      <xdr:colOff>200025</xdr:colOff>
      <xdr:row>26</xdr:row>
      <xdr:rowOff>152400</xdr:rowOff>
    </xdr:from>
    <xdr:to>
      <xdr:col>5</xdr:col>
      <xdr:colOff>0</xdr:colOff>
      <xdr:row>30</xdr:row>
      <xdr:rowOff>114300</xdr:rowOff>
    </xdr:to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 txBox="1"/>
      </xdr:nvSpPr>
      <xdr:spPr>
        <a:xfrm>
          <a:off x="200025" y="8753475"/>
          <a:ext cx="2743200" cy="771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100"/>
        </a:p>
      </xdr:txBody>
    </xdr:sp>
    <xdr:clientData/>
  </xdr:twoCellAnchor>
  <xdr:twoCellAnchor editAs="oneCell">
    <xdr:from>
      <xdr:col>10</xdr:col>
      <xdr:colOff>171451</xdr:colOff>
      <xdr:row>3</xdr:row>
      <xdr:rowOff>76198</xdr:rowOff>
    </xdr:from>
    <xdr:to>
      <xdr:col>10</xdr:col>
      <xdr:colOff>666751</xdr:colOff>
      <xdr:row>5</xdr:row>
      <xdr:rowOff>142873</xdr:rowOff>
    </xdr:to>
    <xdr:pic>
      <xdr:nvPicPr>
        <xdr:cNvPr id="18" name="imagen" descr="Icono de compras, carro, mercado, e-commerce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914398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742950</xdr:colOff>
      <xdr:row>7</xdr:row>
      <xdr:rowOff>304800</xdr:rowOff>
    </xdr:from>
    <xdr:to>
      <xdr:col>5</xdr:col>
      <xdr:colOff>9524</xdr:colOff>
      <xdr:row>10</xdr:row>
      <xdr:rowOff>76199</xdr:rowOff>
    </xdr:to>
    <xdr:pic>
      <xdr:nvPicPr>
        <xdr:cNvPr id="21" name="imagen" descr="Icono configuración, dentada, ruedas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2543175"/>
          <a:ext cx="790574" cy="79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238124</xdr:colOff>
      <xdr:row>18</xdr:row>
      <xdr:rowOff>276224</xdr:rowOff>
    </xdr:from>
    <xdr:to>
      <xdr:col>10</xdr:col>
      <xdr:colOff>904875</xdr:colOff>
      <xdr:row>21</xdr:row>
      <xdr:rowOff>171450</xdr:rowOff>
    </xdr:to>
    <xdr:pic>
      <xdr:nvPicPr>
        <xdr:cNvPr id="22" name="imagen" descr="Icono ingresos, dinero, las ganancias, cartera, monedas, de euros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4" y="5838824"/>
          <a:ext cx="666751" cy="66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161925</xdr:colOff>
      <xdr:row>2</xdr:row>
      <xdr:rowOff>171450</xdr:rowOff>
    </xdr:from>
    <xdr:to>
      <xdr:col>5</xdr:col>
      <xdr:colOff>9524</xdr:colOff>
      <xdr:row>5</xdr:row>
      <xdr:rowOff>161924</xdr:rowOff>
    </xdr:to>
    <xdr:pic>
      <xdr:nvPicPr>
        <xdr:cNvPr id="25" name="imagen" descr="Icono advertencia, alerta, aviso, persona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819150"/>
          <a:ext cx="609599" cy="609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266700</xdr:colOff>
      <xdr:row>11</xdr:row>
      <xdr:rowOff>66675</xdr:rowOff>
    </xdr:from>
    <xdr:to>
      <xdr:col>10</xdr:col>
      <xdr:colOff>771526</xdr:colOff>
      <xdr:row>13</xdr:row>
      <xdr:rowOff>142876</xdr:rowOff>
    </xdr:to>
    <xdr:pic>
      <xdr:nvPicPr>
        <xdr:cNvPr id="27" name="imagen" descr="Icono la escuela, material, regla, pnecil, notebook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3914775"/>
          <a:ext cx="504826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66674</xdr:colOff>
      <xdr:row>14</xdr:row>
      <xdr:rowOff>314324</xdr:rowOff>
    </xdr:from>
    <xdr:to>
      <xdr:col>4</xdr:col>
      <xdr:colOff>742949</xdr:colOff>
      <xdr:row>18</xdr:row>
      <xdr:rowOff>9524</xdr:rowOff>
    </xdr:to>
    <xdr:pic>
      <xdr:nvPicPr>
        <xdr:cNvPr id="29" name="imagen" descr="Icono local, consejo, reunión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49" y="4895849"/>
          <a:ext cx="6762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24</xdr:row>
      <xdr:rowOff>142875</xdr:rowOff>
    </xdr:from>
    <xdr:to>
      <xdr:col>4</xdr:col>
      <xdr:colOff>638174</xdr:colOff>
      <xdr:row>26</xdr:row>
      <xdr:rowOff>171449</xdr:rowOff>
    </xdr:to>
    <xdr:pic>
      <xdr:nvPicPr>
        <xdr:cNvPr id="30" name="imagen" descr="Icono apretón de manos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7839075"/>
          <a:ext cx="533399" cy="533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133350</xdr:rowOff>
    </xdr:from>
    <xdr:to>
      <xdr:col>2</xdr:col>
      <xdr:colOff>628649</xdr:colOff>
      <xdr:row>4</xdr:row>
      <xdr:rowOff>209550</xdr:rowOff>
    </xdr:to>
    <xdr:sp macro="" textlink="">
      <xdr:nvSpPr>
        <xdr:cNvPr id="2" name="Cuadro de texto 9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180975" y="228600"/>
          <a:ext cx="2314574" cy="790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just">
            <a:lnSpc>
              <a:spcPts val="1300"/>
            </a:lnSpc>
            <a:spcAft>
              <a:spcPts val="80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es-ES" sz="1100" b="1">
              <a:effectLst/>
              <a:latin typeface="Calibri"/>
              <a:ea typeface="Arial Unicode MS"/>
              <a:cs typeface="Arial Unicode MS"/>
            </a:rPr>
            <a:t>LOGO EMPRESA</a:t>
          </a:r>
          <a:endParaRPr lang="es-ES" sz="2200" b="1">
            <a:effectLst/>
            <a:latin typeface="Arial"/>
            <a:ea typeface="Times New Roman"/>
          </a:endParaRPr>
        </a:p>
      </xdr:txBody>
    </xdr:sp>
    <xdr:clientData/>
  </xdr:twoCellAnchor>
  <xdr:twoCellAnchor>
    <xdr:from>
      <xdr:col>4</xdr:col>
      <xdr:colOff>615951</xdr:colOff>
      <xdr:row>5</xdr:row>
      <xdr:rowOff>47625</xdr:rowOff>
    </xdr:from>
    <xdr:to>
      <xdr:col>5</xdr:col>
      <xdr:colOff>923925</xdr:colOff>
      <xdr:row>19</xdr:row>
      <xdr:rowOff>180976</xdr:rowOff>
    </xdr:to>
    <xdr:sp macro="" textlink="">
      <xdr:nvSpPr>
        <xdr:cNvPr id="3" name="Cuadro de text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302126" y="1114425"/>
          <a:ext cx="1069974" cy="28003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ts val="1300"/>
            </a:lnSpc>
            <a:spcAft>
              <a:spcPts val="80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1">
              <a:effectLst/>
              <a:latin typeface="Calibri"/>
              <a:ea typeface="Times New Roman"/>
              <a:cs typeface="Arial"/>
            </a:rPr>
            <a:t>EQUIP</a:t>
          </a:r>
          <a:endParaRPr lang="es-ES" sz="2200" b="1">
            <a:effectLst/>
            <a:latin typeface="Arial"/>
            <a:ea typeface="Times New Roman"/>
          </a:endParaRPr>
        </a:p>
        <a:p>
          <a:pPr algn="l">
            <a:lnSpc>
              <a:spcPts val="1300"/>
            </a:lnSpc>
            <a:spcAft>
              <a:spcPts val="80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0" i="1">
              <a:effectLst/>
              <a:latin typeface="Calibri"/>
              <a:ea typeface="Times New Roman"/>
              <a:cs typeface="Arial"/>
            </a:rPr>
            <a:t>Foto de cada uno de los socios fundadores</a:t>
          </a:r>
          <a:endParaRPr lang="es-ES" sz="2200" b="1">
            <a:effectLst/>
            <a:latin typeface="Arial"/>
            <a:ea typeface="Times New Roman"/>
          </a:endParaRPr>
        </a:p>
        <a:p>
          <a:pPr algn="l">
            <a:lnSpc>
              <a:spcPts val="1300"/>
            </a:lnSpc>
            <a:spcAft>
              <a:spcPts val="80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0" i="1">
              <a:effectLst/>
              <a:latin typeface="Calibri"/>
              <a:ea typeface="Times New Roman"/>
              <a:cs typeface="Arial"/>
            </a:rPr>
            <a:t>Nombre</a:t>
          </a:r>
          <a:r>
            <a:rPr lang="ca-ES" sz="1100" b="0" i="1" baseline="0">
              <a:effectLst/>
              <a:latin typeface="Calibri"/>
              <a:ea typeface="Times New Roman"/>
              <a:cs typeface="Arial"/>
            </a:rPr>
            <a:t> y enlace en </a:t>
          </a:r>
          <a:r>
            <a:rPr lang="ca-ES" sz="1100" b="0" i="1">
              <a:effectLst/>
              <a:latin typeface="Calibri"/>
              <a:ea typeface="Times New Roman"/>
              <a:cs typeface="Arial"/>
            </a:rPr>
            <a:t>LinkedIn</a:t>
          </a:r>
          <a:endParaRPr lang="es-ES" sz="2200" b="1">
            <a:effectLst/>
            <a:latin typeface="Arial"/>
            <a:ea typeface="Times New Roman"/>
          </a:endParaRPr>
        </a:p>
        <a:p>
          <a:pPr algn="l">
            <a:lnSpc>
              <a:spcPts val="1300"/>
            </a:lnSpc>
            <a:spcAft>
              <a:spcPts val="80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0" i="1">
              <a:effectLst/>
              <a:latin typeface="Calibri"/>
              <a:ea typeface="Times New Roman"/>
              <a:cs typeface="Arial"/>
            </a:rPr>
            <a:t> </a:t>
          </a:r>
          <a:endParaRPr lang="es-ES" sz="2200" b="1">
            <a:effectLst/>
            <a:latin typeface="Arial"/>
            <a:ea typeface="Times New Roman"/>
          </a:endParaRPr>
        </a:p>
        <a:p>
          <a:pPr algn="l">
            <a:lnSpc>
              <a:spcPts val="1300"/>
            </a:lnSpc>
            <a:spcAft>
              <a:spcPts val="80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0" i="1">
              <a:effectLst/>
              <a:latin typeface="Calibri"/>
              <a:ea typeface="Times New Roman"/>
              <a:cs typeface="Arial"/>
            </a:rPr>
            <a:t> </a:t>
          </a:r>
          <a:endParaRPr lang="es-ES" sz="2200" b="1">
            <a:effectLst/>
            <a:latin typeface="Arial"/>
            <a:ea typeface="Times New Roman"/>
          </a:endParaRPr>
        </a:p>
        <a:p>
          <a:pPr algn="l">
            <a:lnSpc>
              <a:spcPts val="1300"/>
            </a:lnSpc>
            <a:spcAft>
              <a:spcPts val="80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0" i="1">
              <a:effectLst/>
              <a:latin typeface="Calibri"/>
              <a:ea typeface="Times New Roman"/>
              <a:cs typeface="Arial"/>
            </a:rPr>
            <a:t> </a:t>
          </a:r>
          <a:endParaRPr lang="es-ES" sz="2200" b="1">
            <a:effectLst/>
            <a:latin typeface="Arial"/>
            <a:ea typeface="Times New Roman"/>
          </a:endParaRPr>
        </a:p>
        <a:p>
          <a:pPr algn="l">
            <a:lnSpc>
              <a:spcPts val="1300"/>
            </a:lnSpc>
            <a:spcAft>
              <a:spcPts val="80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0" i="1">
              <a:effectLst/>
              <a:latin typeface="Calibri"/>
              <a:ea typeface="Times New Roman"/>
              <a:cs typeface="Arial"/>
            </a:rPr>
            <a:t> </a:t>
          </a:r>
          <a:endParaRPr lang="es-ES" sz="2200" b="1">
            <a:effectLst/>
            <a:latin typeface="Arial"/>
            <a:ea typeface="Times New Roman"/>
          </a:endParaRPr>
        </a:p>
        <a:p>
          <a:pPr algn="l">
            <a:lnSpc>
              <a:spcPts val="1300"/>
            </a:lnSpc>
            <a:spcAft>
              <a:spcPts val="80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0" i="1">
              <a:effectLst/>
              <a:latin typeface="Calibri"/>
              <a:ea typeface="Times New Roman"/>
              <a:cs typeface="Arial"/>
            </a:rPr>
            <a:t> </a:t>
          </a:r>
          <a:endParaRPr lang="es-ES" sz="2200" b="1">
            <a:effectLst/>
            <a:latin typeface="Arial"/>
            <a:ea typeface="Times New Roman"/>
          </a:endParaRPr>
        </a:p>
        <a:p>
          <a:pPr algn="just">
            <a:lnSpc>
              <a:spcPts val="1300"/>
            </a:lnSpc>
            <a:spcAft>
              <a:spcPts val="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es-ES" sz="1100" b="1">
              <a:effectLst/>
              <a:latin typeface="Calibri"/>
              <a:ea typeface="Arial Unicode MS"/>
              <a:cs typeface="Arial Unicode MS"/>
            </a:rPr>
            <a:t> </a:t>
          </a:r>
          <a:endParaRPr lang="es-ES" sz="2200" b="1">
            <a:effectLst/>
            <a:latin typeface="Arial"/>
            <a:ea typeface="Times New Roman"/>
          </a:endParaRPr>
        </a:p>
        <a:p>
          <a:pPr algn="just">
            <a:lnSpc>
              <a:spcPts val="1300"/>
            </a:lnSpc>
            <a:spcAft>
              <a:spcPts val="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es-ES" sz="1100" b="1">
              <a:effectLst/>
              <a:latin typeface="Calibri"/>
              <a:ea typeface="Arial Unicode MS"/>
              <a:cs typeface="Arial Unicode MS"/>
            </a:rPr>
            <a:t> </a:t>
          </a:r>
          <a:endParaRPr lang="es-ES" sz="2200" b="1">
            <a:effectLst/>
            <a:latin typeface="Arial"/>
            <a:ea typeface="Times New Roman"/>
          </a:endParaRPr>
        </a:p>
        <a:p>
          <a:pPr algn="just">
            <a:lnSpc>
              <a:spcPts val="1300"/>
            </a:lnSpc>
            <a:spcAft>
              <a:spcPts val="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es-ES" sz="1100" b="1">
              <a:effectLst/>
              <a:latin typeface="Calibri"/>
              <a:ea typeface="Arial Unicode MS"/>
              <a:cs typeface="Arial Unicode MS"/>
            </a:rPr>
            <a:t> </a:t>
          </a:r>
          <a:endParaRPr lang="es-ES" sz="2200" b="1">
            <a:effectLst/>
            <a:latin typeface="Arial"/>
            <a:ea typeface="Times New Roman"/>
          </a:endParaRPr>
        </a:p>
        <a:p>
          <a:pPr algn="l">
            <a:lnSpc>
              <a:spcPts val="1300"/>
            </a:lnSpc>
            <a:spcAft>
              <a:spcPts val="80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0" i="1">
              <a:effectLst/>
              <a:latin typeface="Calibri"/>
              <a:ea typeface="Times New Roman"/>
              <a:cs typeface="Arial"/>
            </a:rPr>
            <a:t> </a:t>
          </a:r>
          <a:endParaRPr lang="es-ES" sz="2200" b="1">
            <a:effectLst/>
            <a:latin typeface="Arial"/>
            <a:ea typeface="Times New Roman"/>
          </a:endParaRPr>
        </a:p>
        <a:p>
          <a:pPr algn="l">
            <a:lnSpc>
              <a:spcPts val="1300"/>
            </a:lnSpc>
            <a:spcAft>
              <a:spcPts val="80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0" i="1">
              <a:effectLst/>
              <a:latin typeface="Calibri"/>
              <a:ea typeface="Times New Roman"/>
              <a:cs typeface="Arial"/>
            </a:rPr>
            <a:t> </a:t>
          </a:r>
          <a:endParaRPr lang="es-ES" sz="2200" b="1">
            <a:effectLst/>
            <a:latin typeface="Arial"/>
            <a:ea typeface="Times New Roman"/>
          </a:endParaRPr>
        </a:p>
        <a:p>
          <a:pPr algn="l">
            <a:lnSpc>
              <a:spcPts val="1300"/>
            </a:lnSpc>
            <a:spcAft>
              <a:spcPts val="80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0" i="1">
              <a:effectLst/>
              <a:latin typeface="Calibri"/>
              <a:ea typeface="Times New Roman"/>
              <a:cs typeface="Arial"/>
            </a:rPr>
            <a:t> </a:t>
          </a:r>
          <a:endParaRPr lang="es-ES" sz="2200" b="1">
            <a:effectLst/>
            <a:latin typeface="Arial"/>
            <a:ea typeface="Times New Roman"/>
          </a:endParaRPr>
        </a:p>
        <a:p>
          <a:pPr algn="l">
            <a:lnSpc>
              <a:spcPts val="1300"/>
            </a:lnSpc>
            <a:spcAft>
              <a:spcPts val="80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0" i="1">
              <a:effectLst/>
              <a:latin typeface="Calibri"/>
              <a:ea typeface="Times New Roman"/>
              <a:cs typeface="Arial"/>
            </a:rPr>
            <a:t> </a:t>
          </a:r>
          <a:endParaRPr lang="es-ES" sz="2200" b="1">
            <a:effectLst/>
            <a:latin typeface="Arial"/>
            <a:ea typeface="Times New Roman"/>
          </a:endParaRPr>
        </a:p>
        <a:p>
          <a:pPr algn="l">
            <a:lnSpc>
              <a:spcPts val="1300"/>
            </a:lnSpc>
            <a:spcAft>
              <a:spcPts val="80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0" i="1">
              <a:effectLst/>
              <a:latin typeface="Calibri"/>
              <a:ea typeface="Times New Roman"/>
              <a:cs typeface="Arial"/>
            </a:rPr>
            <a:t> </a:t>
          </a:r>
          <a:endParaRPr lang="es-ES" sz="2200" b="1">
            <a:effectLst/>
            <a:latin typeface="Arial"/>
            <a:ea typeface="Times New Roman"/>
          </a:endParaRPr>
        </a:p>
      </xdr:txBody>
    </xdr:sp>
    <xdr:clientData/>
  </xdr:twoCellAnchor>
  <xdr:twoCellAnchor>
    <xdr:from>
      <xdr:col>1</xdr:col>
      <xdr:colOff>0</xdr:colOff>
      <xdr:row>7</xdr:row>
      <xdr:rowOff>171449</xdr:rowOff>
    </xdr:from>
    <xdr:to>
      <xdr:col>4</xdr:col>
      <xdr:colOff>504825</xdr:colOff>
      <xdr:row>11</xdr:row>
      <xdr:rowOff>161924</xdr:rowOff>
    </xdr:to>
    <xdr:sp macro="" textlink="">
      <xdr:nvSpPr>
        <xdr:cNvPr id="4" name="Cuadro de texto 2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171450" y="1619249"/>
          <a:ext cx="401955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ts val="1300"/>
            </a:lnSpc>
            <a:spcAft>
              <a:spcPts val="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1">
              <a:effectLst/>
              <a:latin typeface="Calibri"/>
              <a:ea typeface="Times New Roman"/>
              <a:cs typeface="Arial"/>
            </a:rPr>
            <a:t>SOLUCIÓN </a:t>
          </a:r>
          <a:r>
            <a:rPr lang="ca-ES" sz="1100" b="0">
              <a:effectLst/>
              <a:latin typeface="Calibri"/>
              <a:ea typeface="Times New Roman"/>
              <a:cs typeface="Arial"/>
            </a:rPr>
            <a:t>(2 líneas )</a:t>
          </a:r>
          <a:endParaRPr lang="es-ES" sz="2200" b="1">
            <a:effectLst/>
            <a:latin typeface="Arial"/>
            <a:ea typeface="Times New Roman"/>
          </a:endParaRPr>
        </a:p>
        <a:p>
          <a:pPr algn="just">
            <a:lnSpc>
              <a:spcPts val="1300"/>
            </a:lnSpc>
            <a:spcAft>
              <a:spcPts val="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0" i="1">
              <a:effectLst/>
              <a:latin typeface="Calibri"/>
              <a:ea typeface="Times New Roman"/>
              <a:cs typeface="Arial"/>
            </a:rPr>
            <a:t>Descripción</a:t>
          </a:r>
          <a:r>
            <a:rPr lang="ca-ES" sz="1100" b="0" i="1" baseline="0">
              <a:effectLst/>
              <a:latin typeface="Calibri"/>
              <a:ea typeface="Times New Roman"/>
              <a:cs typeface="Arial"/>
            </a:rPr>
            <a:t> del producto y servicio</a:t>
          </a:r>
          <a:endParaRPr lang="es-ES" sz="2200" b="1">
            <a:effectLst/>
            <a:latin typeface="Arial"/>
            <a:ea typeface="Times New Roman"/>
          </a:endParaRPr>
        </a:p>
      </xdr:txBody>
    </xdr:sp>
    <xdr:clientData/>
  </xdr:twoCellAnchor>
  <xdr:twoCellAnchor>
    <xdr:from>
      <xdr:col>1</xdr:col>
      <xdr:colOff>1</xdr:colOff>
      <xdr:row>5</xdr:row>
      <xdr:rowOff>28575</xdr:rowOff>
    </xdr:from>
    <xdr:to>
      <xdr:col>4</xdr:col>
      <xdr:colOff>514351</xdr:colOff>
      <xdr:row>7</xdr:row>
      <xdr:rowOff>85726</xdr:rowOff>
    </xdr:to>
    <xdr:sp macro="" textlink="">
      <xdr:nvSpPr>
        <xdr:cNvPr id="5" name="Cuadro de texto 2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 txBox="1">
          <a:spLocks noChangeArrowheads="1"/>
        </xdr:cNvSpPr>
      </xdr:nvSpPr>
      <xdr:spPr bwMode="auto">
        <a:xfrm>
          <a:off x="171451" y="1095375"/>
          <a:ext cx="4029075" cy="4381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ts val="1300"/>
            </a:lnSpc>
            <a:spcAft>
              <a:spcPts val="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1">
              <a:effectLst/>
              <a:latin typeface="Calibri"/>
              <a:ea typeface="Times New Roman"/>
              <a:cs typeface="Arial"/>
            </a:rPr>
            <a:t>SLOGAN </a:t>
          </a:r>
          <a:r>
            <a:rPr lang="ca-ES" sz="1100" b="0">
              <a:effectLst/>
              <a:latin typeface="Calibri"/>
              <a:ea typeface="Times New Roman"/>
              <a:cs typeface="Arial"/>
            </a:rPr>
            <a:t>(1 línea)</a:t>
          </a:r>
          <a:r>
            <a:rPr lang="ca-ES" sz="1100" b="0" baseline="0">
              <a:effectLst/>
              <a:latin typeface="Calibri"/>
              <a:ea typeface="Times New Roman"/>
              <a:cs typeface="Arial"/>
            </a:rPr>
            <a:t> </a:t>
          </a:r>
          <a:endParaRPr lang="es-ES" sz="2200" b="1">
            <a:effectLst/>
            <a:latin typeface="Arial"/>
            <a:ea typeface="Times New Roman"/>
          </a:endParaRPr>
        </a:p>
        <a:p>
          <a:pPr algn="just">
            <a:lnSpc>
              <a:spcPts val="1300"/>
            </a:lnSpc>
            <a:spcAft>
              <a:spcPts val="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0" i="1">
              <a:effectLst/>
              <a:latin typeface="Calibri"/>
              <a:ea typeface="Times New Roman"/>
              <a:cs typeface="Arial"/>
            </a:rPr>
            <a:t> </a:t>
          </a:r>
          <a:endParaRPr lang="es-ES" sz="2200" b="1">
            <a:effectLst/>
            <a:latin typeface="Arial"/>
            <a:ea typeface="Times New Roman"/>
          </a:endParaRPr>
        </a:p>
      </xdr:txBody>
    </xdr:sp>
    <xdr:clientData/>
  </xdr:twoCellAnchor>
  <xdr:twoCellAnchor>
    <xdr:from>
      <xdr:col>1</xdr:col>
      <xdr:colOff>1</xdr:colOff>
      <xdr:row>12</xdr:row>
      <xdr:rowOff>66675</xdr:rowOff>
    </xdr:from>
    <xdr:to>
      <xdr:col>4</xdr:col>
      <xdr:colOff>501651</xdr:colOff>
      <xdr:row>15</xdr:row>
      <xdr:rowOff>95250</xdr:rowOff>
    </xdr:to>
    <xdr:sp macro="" textlink="">
      <xdr:nvSpPr>
        <xdr:cNvPr id="6" name="Cuadro de texto 2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 txBox="1">
          <a:spLocks noChangeArrowheads="1"/>
        </xdr:cNvSpPr>
      </xdr:nvSpPr>
      <xdr:spPr bwMode="auto">
        <a:xfrm>
          <a:off x="171451" y="2466975"/>
          <a:ext cx="4016375" cy="600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ts val="1300"/>
            </a:lnSpc>
            <a:spcAft>
              <a:spcPts val="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1">
              <a:effectLst/>
              <a:latin typeface="Calibri"/>
              <a:ea typeface="Times New Roman"/>
              <a:cs typeface="Arial"/>
            </a:rPr>
            <a:t>MERCADO </a:t>
          </a:r>
          <a:r>
            <a:rPr lang="ca-ES" sz="1100" b="0">
              <a:effectLst/>
              <a:latin typeface="Calibri"/>
              <a:ea typeface="Times New Roman"/>
              <a:cs typeface="Arial"/>
            </a:rPr>
            <a:t>(3 líneas máximo)</a:t>
          </a:r>
          <a:endParaRPr lang="es-ES" sz="2200" b="1">
            <a:effectLst/>
            <a:latin typeface="Arial"/>
            <a:ea typeface="Times New Roman"/>
          </a:endParaRPr>
        </a:p>
        <a:p>
          <a:pPr algn="just">
            <a:lnSpc>
              <a:spcPts val="1300"/>
            </a:lnSpc>
            <a:spcAft>
              <a:spcPts val="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0" i="1">
              <a:effectLst/>
              <a:latin typeface="Calibri"/>
              <a:ea typeface="Times New Roman"/>
              <a:cs typeface="Arial"/>
            </a:rPr>
            <a:t>Mercado potencial</a:t>
          </a:r>
          <a:r>
            <a:rPr lang="ca-ES" sz="1100" b="0" i="1" baseline="0">
              <a:effectLst/>
              <a:latin typeface="Calibri"/>
              <a:ea typeface="Times New Roman"/>
              <a:cs typeface="Arial"/>
            </a:rPr>
            <a:t> /</a:t>
          </a:r>
          <a:r>
            <a:rPr lang="ca-ES" sz="1100" b="0" i="1">
              <a:effectLst/>
              <a:latin typeface="Calibri"/>
              <a:ea typeface="Times New Roman"/>
              <a:cs typeface="Arial"/>
            </a:rPr>
            <a:t>target. </a:t>
          </a:r>
          <a:endParaRPr lang="es-ES" sz="2200" b="1">
            <a:effectLst/>
            <a:latin typeface="Arial"/>
            <a:ea typeface="Times New Roman"/>
          </a:endParaRPr>
        </a:p>
        <a:p>
          <a:pPr algn="just">
            <a:lnSpc>
              <a:spcPts val="1300"/>
            </a:lnSpc>
            <a:spcAft>
              <a:spcPts val="80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200" b="1">
              <a:effectLst/>
              <a:latin typeface="Calibri"/>
              <a:ea typeface="Times New Roman"/>
              <a:cs typeface="Arial"/>
            </a:rPr>
            <a:t> </a:t>
          </a:r>
          <a:endParaRPr lang="es-ES" sz="2200" b="1">
            <a:effectLst/>
            <a:latin typeface="Arial"/>
            <a:ea typeface="Times New Roman"/>
          </a:endParaRPr>
        </a:p>
      </xdr:txBody>
    </xdr:sp>
    <xdr:clientData/>
  </xdr:twoCellAnchor>
  <xdr:twoCellAnchor>
    <xdr:from>
      <xdr:col>1</xdr:col>
      <xdr:colOff>0</xdr:colOff>
      <xdr:row>15</xdr:row>
      <xdr:rowOff>180976</xdr:rowOff>
    </xdr:from>
    <xdr:to>
      <xdr:col>4</xdr:col>
      <xdr:colOff>523875</xdr:colOff>
      <xdr:row>20</xdr:row>
      <xdr:rowOff>0</xdr:rowOff>
    </xdr:to>
    <xdr:sp macro="" textlink="">
      <xdr:nvSpPr>
        <xdr:cNvPr id="7" name="Cuadro de texto 2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 txBox="1">
          <a:spLocks noChangeArrowheads="1"/>
        </xdr:cNvSpPr>
      </xdr:nvSpPr>
      <xdr:spPr bwMode="auto">
        <a:xfrm>
          <a:off x="171450" y="3152776"/>
          <a:ext cx="4038600" cy="7715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ts val="1300"/>
            </a:lnSpc>
            <a:spcAft>
              <a:spcPts val="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1">
              <a:effectLst/>
              <a:latin typeface="Calibri"/>
              <a:ea typeface="Times New Roman"/>
              <a:cs typeface="Arial"/>
            </a:rPr>
            <a:t>MODELO DE NEGOCIO </a:t>
          </a:r>
          <a:r>
            <a:rPr lang="ca-ES" sz="1100" b="0">
              <a:effectLst/>
              <a:latin typeface="Calibri"/>
              <a:ea typeface="Times New Roman"/>
              <a:cs typeface="Arial"/>
            </a:rPr>
            <a:t>(3 </a:t>
          </a:r>
          <a:r>
            <a:rPr lang="ca-ES" sz="1100" b="0">
              <a:effectLst/>
              <a:latin typeface="+mn-lt"/>
              <a:ea typeface="+mn-ea"/>
              <a:cs typeface="+mn-cs"/>
            </a:rPr>
            <a:t>líneas máximo</a:t>
          </a:r>
          <a:r>
            <a:rPr lang="ca-ES" sz="1100" b="0">
              <a:effectLst/>
              <a:latin typeface="Calibri"/>
              <a:ea typeface="Times New Roman"/>
              <a:cs typeface="Arial"/>
            </a:rPr>
            <a:t>)</a:t>
          </a:r>
          <a:endParaRPr lang="es-ES" sz="2200" b="1">
            <a:effectLst/>
            <a:latin typeface="Arial"/>
            <a:ea typeface="Times New Roman"/>
          </a:endParaRPr>
        </a:p>
        <a:p>
          <a:pPr algn="just">
            <a:lnSpc>
              <a:spcPts val="1300"/>
            </a:lnSpc>
            <a:spcAft>
              <a:spcPts val="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0" i="1">
              <a:effectLst/>
              <a:latin typeface="Calibri"/>
              <a:ea typeface="Times New Roman"/>
              <a:cs typeface="Arial"/>
            </a:rPr>
            <a:t>Modelo de ingresos, estructura de costes, margen, etc.</a:t>
          </a:r>
          <a:endParaRPr lang="es-ES" sz="2200" b="1">
            <a:effectLst/>
            <a:latin typeface="Arial"/>
            <a:ea typeface="Times New Roman"/>
          </a:endParaRPr>
        </a:p>
        <a:p>
          <a:pPr algn="just">
            <a:lnSpc>
              <a:spcPts val="1300"/>
            </a:lnSpc>
            <a:spcAft>
              <a:spcPts val="80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200" b="1">
              <a:effectLst/>
              <a:latin typeface="Calibri"/>
              <a:ea typeface="Times New Roman"/>
              <a:cs typeface="Arial"/>
            </a:rPr>
            <a:t> </a:t>
          </a:r>
          <a:endParaRPr lang="es-ES" sz="2200" b="1">
            <a:effectLst/>
            <a:latin typeface="Arial"/>
            <a:ea typeface="Times New Roman"/>
          </a:endParaRPr>
        </a:p>
      </xdr:txBody>
    </xdr:sp>
    <xdr:clientData/>
  </xdr:twoCellAnchor>
  <xdr:twoCellAnchor>
    <xdr:from>
      <xdr:col>1</xdr:col>
      <xdr:colOff>0</xdr:colOff>
      <xdr:row>20</xdr:row>
      <xdr:rowOff>95250</xdr:rowOff>
    </xdr:from>
    <xdr:to>
      <xdr:col>5</xdr:col>
      <xdr:colOff>923925</xdr:colOff>
      <xdr:row>24</xdr:row>
      <xdr:rowOff>123825</xdr:rowOff>
    </xdr:to>
    <xdr:sp macro="" textlink="">
      <xdr:nvSpPr>
        <xdr:cNvPr id="8" name="Cuadro de texto 2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 txBox="1">
          <a:spLocks noChangeArrowheads="1"/>
        </xdr:cNvSpPr>
      </xdr:nvSpPr>
      <xdr:spPr bwMode="auto">
        <a:xfrm>
          <a:off x="171450" y="4019550"/>
          <a:ext cx="520065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ts val="1300"/>
            </a:lnSpc>
            <a:spcAft>
              <a:spcPts val="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1">
              <a:effectLst/>
              <a:latin typeface="Calibri"/>
              <a:ea typeface="Times New Roman"/>
              <a:cs typeface="Arial"/>
            </a:rPr>
            <a:t>COMPETENCIA </a:t>
          </a:r>
          <a:r>
            <a:rPr lang="ca-ES" sz="1100" b="0">
              <a:effectLst/>
              <a:latin typeface="Calibri"/>
              <a:ea typeface="Times New Roman"/>
              <a:cs typeface="Arial"/>
            </a:rPr>
            <a:t>(2 líneas máximo)</a:t>
          </a:r>
          <a:endParaRPr lang="es-ES" sz="2200" b="1">
            <a:effectLst/>
            <a:latin typeface="Arial"/>
            <a:ea typeface="Times New Roman"/>
          </a:endParaRPr>
        </a:p>
        <a:p>
          <a:pPr algn="just">
            <a:lnSpc>
              <a:spcPts val="1300"/>
            </a:lnSpc>
            <a:spcAft>
              <a:spcPts val="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0" i="1">
              <a:effectLst/>
              <a:latin typeface="Calibri"/>
              <a:ea typeface="Times New Roman"/>
              <a:cs typeface="Arial"/>
            </a:rPr>
            <a:t>Otras soluciones existentes al mercado, nombre de los principales competidores</a:t>
          </a:r>
          <a:endParaRPr lang="es-ES" sz="2200" b="1">
            <a:effectLst/>
            <a:latin typeface="Arial"/>
            <a:ea typeface="Times New Roman"/>
          </a:endParaRPr>
        </a:p>
      </xdr:txBody>
    </xdr:sp>
    <xdr:clientData/>
  </xdr:twoCellAnchor>
  <xdr:twoCellAnchor>
    <xdr:from>
      <xdr:col>1</xdr:col>
      <xdr:colOff>1</xdr:colOff>
      <xdr:row>25</xdr:row>
      <xdr:rowOff>19050</xdr:rowOff>
    </xdr:from>
    <xdr:to>
      <xdr:col>5</xdr:col>
      <xdr:colOff>933451</xdr:colOff>
      <xdr:row>29</xdr:row>
      <xdr:rowOff>9525</xdr:rowOff>
    </xdr:to>
    <xdr:sp macro="" textlink="">
      <xdr:nvSpPr>
        <xdr:cNvPr id="9" name="Cuadro de texto 2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 txBox="1">
          <a:spLocks noChangeArrowheads="1"/>
        </xdr:cNvSpPr>
      </xdr:nvSpPr>
      <xdr:spPr bwMode="auto">
        <a:xfrm>
          <a:off x="171451" y="4781550"/>
          <a:ext cx="520065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marL="0" marR="0" indent="0" algn="just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  <a:defRPr/>
          </a:pPr>
          <a:r>
            <a:rPr lang="ca-ES" sz="1100" b="1">
              <a:effectLst/>
              <a:latin typeface="Calibri"/>
              <a:ea typeface="Times New Roman"/>
              <a:cs typeface="Arial"/>
            </a:rPr>
            <a:t>HITOS RELEVANTES CONSEGUIDOS </a:t>
          </a:r>
          <a:r>
            <a:rPr lang="ca-ES" sz="1100" b="0">
              <a:effectLst/>
              <a:latin typeface="+mn-lt"/>
              <a:ea typeface="+mn-ea"/>
              <a:cs typeface="+mn-cs"/>
            </a:rPr>
            <a:t>(2 líneas máximo)</a:t>
          </a:r>
          <a:endParaRPr lang="es-ES" sz="2400">
            <a:effectLst/>
          </a:endParaRPr>
        </a:p>
        <a:p>
          <a:pPr algn="just">
            <a:lnSpc>
              <a:spcPts val="1300"/>
            </a:lnSpc>
            <a:spcAft>
              <a:spcPts val="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0" i="1" baseline="0">
              <a:effectLst/>
              <a:latin typeface="Calibri"/>
              <a:ea typeface="Times New Roman"/>
              <a:cs typeface="Arial"/>
            </a:rPr>
            <a:t>Hitos conseguidos hasta la fecha, indicando fecha.</a:t>
          </a:r>
          <a:endParaRPr lang="es-ES" sz="2200" b="1">
            <a:effectLst/>
            <a:latin typeface="Arial"/>
            <a:ea typeface="Times New Roman"/>
          </a:endParaRPr>
        </a:p>
        <a:p>
          <a:pPr algn="just">
            <a:lnSpc>
              <a:spcPts val="1300"/>
            </a:lnSpc>
            <a:spcAft>
              <a:spcPts val="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1">
              <a:effectLst/>
              <a:latin typeface="Calibri"/>
              <a:ea typeface="Times New Roman"/>
              <a:cs typeface="Arial"/>
            </a:rPr>
            <a:t> </a:t>
          </a:r>
          <a:endParaRPr lang="es-ES" sz="2200" b="1">
            <a:effectLst/>
            <a:latin typeface="Arial"/>
            <a:ea typeface="Times New Roman"/>
          </a:endParaRPr>
        </a:p>
      </xdr:txBody>
    </xdr:sp>
    <xdr:clientData/>
  </xdr:twoCellAnchor>
  <xdr:twoCellAnchor>
    <xdr:from>
      <xdr:col>0</xdr:col>
      <xdr:colOff>171449</xdr:colOff>
      <xdr:row>29</xdr:row>
      <xdr:rowOff>57150</xdr:rowOff>
    </xdr:from>
    <xdr:to>
      <xdr:col>5</xdr:col>
      <xdr:colOff>942975</xdr:colOff>
      <xdr:row>33</xdr:row>
      <xdr:rowOff>47625</xdr:rowOff>
    </xdr:to>
    <xdr:sp macro="" textlink="">
      <xdr:nvSpPr>
        <xdr:cNvPr id="10" name="Cuadro de texto 2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 txBox="1">
          <a:spLocks noChangeArrowheads="1"/>
        </xdr:cNvSpPr>
      </xdr:nvSpPr>
      <xdr:spPr bwMode="auto">
        <a:xfrm>
          <a:off x="171449" y="5581650"/>
          <a:ext cx="5200651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ts val="1300"/>
            </a:lnSpc>
            <a:spcAft>
              <a:spcPts val="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1">
              <a:effectLst/>
              <a:latin typeface="Calibri"/>
              <a:ea typeface="Times New Roman"/>
              <a:cs typeface="Arial"/>
            </a:rPr>
            <a:t>PRÓXIMOS</a:t>
          </a:r>
          <a:r>
            <a:rPr lang="ca-ES" sz="1100" b="1" baseline="0">
              <a:effectLst/>
              <a:latin typeface="Calibri"/>
              <a:ea typeface="Times New Roman"/>
              <a:cs typeface="Arial"/>
            </a:rPr>
            <a:t> HITOS A CONSEGUIR </a:t>
          </a:r>
          <a:r>
            <a:rPr lang="ca-ES" sz="1100" b="0">
              <a:effectLst/>
              <a:latin typeface="+mn-lt"/>
              <a:ea typeface="+mn-ea"/>
              <a:cs typeface="+mn-cs"/>
            </a:rPr>
            <a:t>(2 líneas máximo)</a:t>
          </a:r>
          <a:endParaRPr lang="es-ES" sz="2200" b="1">
            <a:effectLst/>
            <a:latin typeface="Arial"/>
            <a:ea typeface="Times New Roman"/>
          </a:endParaRPr>
        </a:p>
        <a:p>
          <a:pPr algn="just">
            <a:lnSpc>
              <a:spcPts val="1300"/>
            </a:lnSpc>
            <a:spcAft>
              <a:spcPts val="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200" b="0" i="1">
              <a:effectLst/>
              <a:latin typeface="Calibri"/>
              <a:ea typeface="Times New Roman"/>
              <a:cs typeface="Arial"/>
            </a:rPr>
            <a:t>Actuaciones previstas, objetivos. Cuando y como llegarás a ellos.</a:t>
          </a:r>
          <a:endParaRPr lang="es-ES" sz="2200" b="1">
            <a:effectLst/>
            <a:latin typeface="Arial"/>
            <a:ea typeface="Times New Roman"/>
          </a:endParaRPr>
        </a:p>
      </xdr:txBody>
    </xdr:sp>
    <xdr:clientData/>
  </xdr:twoCellAnchor>
  <xdr:twoCellAnchor>
    <xdr:from>
      <xdr:col>1</xdr:col>
      <xdr:colOff>0</xdr:colOff>
      <xdr:row>33</xdr:row>
      <xdr:rowOff>114300</xdr:rowOff>
    </xdr:from>
    <xdr:to>
      <xdr:col>5</xdr:col>
      <xdr:colOff>942975</xdr:colOff>
      <xdr:row>37</xdr:row>
      <xdr:rowOff>0</xdr:rowOff>
    </xdr:to>
    <xdr:sp macro="" textlink="">
      <xdr:nvSpPr>
        <xdr:cNvPr id="11" name="Cuadro de texto 2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 txBox="1">
          <a:spLocks noChangeArrowheads="1"/>
        </xdr:cNvSpPr>
      </xdr:nvSpPr>
      <xdr:spPr bwMode="auto">
        <a:xfrm>
          <a:off x="171450" y="6400800"/>
          <a:ext cx="52006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marL="0" marR="0" indent="0" algn="just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  <a:defRPr/>
          </a:pPr>
          <a:r>
            <a:rPr lang="ca-ES" sz="1100" b="1">
              <a:effectLst/>
              <a:latin typeface="Calibri"/>
              <a:ea typeface="Times New Roman"/>
              <a:cs typeface="Arial"/>
            </a:rPr>
            <a:t>NECESIDADES DE FINANCACIÓN </a:t>
          </a:r>
          <a:r>
            <a:rPr lang="ca-ES" sz="1100" b="0">
              <a:effectLst/>
              <a:latin typeface="+mn-lt"/>
              <a:ea typeface="+mn-ea"/>
              <a:cs typeface="+mn-cs"/>
            </a:rPr>
            <a:t>(4 líneas máximo)</a:t>
          </a:r>
          <a:endParaRPr lang="es-ES">
            <a:effectLst/>
          </a:endParaRPr>
        </a:p>
        <a:p>
          <a:pPr algn="just">
            <a:lnSpc>
              <a:spcPts val="1300"/>
            </a:lnSpc>
            <a:spcAft>
              <a:spcPts val="0"/>
            </a:spcAft>
            <a:tabLst>
              <a:tab pos="540385" algn="l"/>
              <a:tab pos="900430" algn="l"/>
              <a:tab pos="1260475" algn="l"/>
              <a:tab pos="2340610" algn="l"/>
              <a:tab pos="2700655" algn="l"/>
              <a:tab pos="3060700" algn="l"/>
              <a:tab pos="4140835" algn="l"/>
              <a:tab pos="4500880" algn="l"/>
              <a:tab pos="4860925" algn="l"/>
            </a:tabLst>
          </a:pPr>
          <a:r>
            <a:rPr lang="ca-ES" sz="1100" b="0" baseline="0">
              <a:effectLst/>
              <a:latin typeface="Calibri"/>
              <a:ea typeface="Times New Roman"/>
              <a:cs typeface="Arial"/>
            </a:rPr>
            <a:t>¿Cuánto capital has invertido? </a:t>
          </a:r>
          <a:r>
            <a:rPr lang="ca-ES" sz="1100" b="0">
              <a:effectLst/>
              <a:latin typeface="Calibri"/>
              <a:ea typeface="Times New Roman"/>
              <a:cs typeface="Arial"/>
            </a:rPr>
            <a:t>¿Cuánto</a:t>
          </a:r>
          <a:r>
            <a:rPr lang="ca-ES" sz="1100" b="0" baseline="0">
              <a:effectLst/>
              <a:latin typeface="Calibri"/>
              <a:ea typeface="Times New Roman"/>
              <a:cs typeface="Arial"/>
            </a:rPr>
            <a:t> capital necesitas? ¿En qué momento? ¿Para qué?</a:t>
          </a:r>
          <a:endParaRPr lang="es-ES" sz="2200" b="1">
            <a:effectLst/>
            <a:latin typeface="Arial"/>
            <a:ea typeface="Times New Roman"/>
          </a:endParaRPr>
        </a:p>
      </xdr:txBody>
    </xdr:sp>
    <xdr:clientData/>
  </xdr:twoCellAnchor>
  <xdr:twoCellAnchor editAs="oneCell">
    <xdr:from>
      <xdr:col>7</xdr:col>
      <xdr:colOff>419100</xdr:colOff>
      <xdr:row>1</xdr:row>
      <xdr:rowOff>95250</xdr:rowOff>
    </xdr:from>
    <xdr:to>
      <xdr:col>8</xdr:col>
      <xdr:colOff>219074</xdr:colOff>
      <xdr:row>3</xdr:row>
      <xdr:rowOff>180975</xdr:rowOff>
    </xdr:to>
    <xdr:pic>
      <xdr:nvPicPr>
        <xdr:cNvPr id="12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190500"/>
          <a:ext cx="561974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17</xdr:row>
      <xdr:rowOff>76200</xdr:rowOff>
    </xdr:from>
    <xdr:to>
      <xdr:col>3</xdr:col>
      <xdr:colOff>666750</xdr:colOff>
      <xdr:row>44</xdr:row>
      <xdr:rowOff>123824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485775</xdr:colOff>
      <xdr:row>17</xdr:row>
      <xdr:rowOff>76200</xdr:rowOff>
    </xdr:from>
    <xdr:to>
      <xdr:col>7</xdr:col>
      <xdr:colOff>0</xdr:colOff>
      <xdr:row>44</xdr:row>
      <xdr:rowOff>152399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85725</xdr:colOff>
      <xdr:row>0</xdr:row>
      <xdr:rowOff>161925</xdr:rowOff>
    </xdr:from>
    <xdr:to>
      <xdr:col>7</xdr:col>
      <xdr:colOff>647699</xdr:colOff>
      <xdr:row>3</xdr:row>
      <xdr:rowOff>47625</xdr:rowOff>
    </xdr:to>
    <xdr:pic>
      <xdr:nvPicPr>
        <xdr:cNvPr id="4" name="Picture 1" descr="MC900432680[1]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161925"/>
          <a:ext cx="561974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1727253</xdr:colOff>
      <xdr:row>46</xdr:row>
      <xdr:rowOff>48783</xdr:rowOff>
    </xdr:from>
    <xdr:to>
      <xdr:col>1</xdr:col>
      <xdr:colOff>97320</xdr:colOff>
      <xdr:row>48</xdr:row>
      <xdr:rowOff>85725</xdr:rowOff>
    </xdr:to>
    <xdr:pic macro="[0]!GenerarPE">
      <xdr:nvPicPr>
        <xdr:cNvPr id="5" name="Gráfico 4" descr="Cuaderno de estrategias contorno">
          <a:extLst>
            <a:ext uri="{FF2B5EF4-FFF2-40B4-BE49-F238E27FC236}">
              <a16:creationId xmlns:a16="http://schemas.microsoft.com/office/drawing/2014/main" id="{44BDFB83-277A-4EEC-821D-4CB0EF2D8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727253" y="9107058"/>
          <a:ext cx="417942" cy="417942"/>
        </a:xfrm>
        <a:prstGeom prst="rect">
          <a:avLst/>
        </a:prstGeom>
      </xdr:spPr>
    </xdr:pic>
    <xdr:clientData/>
  </xdr:twoCellAnchor>
  <xdr:twoCellAnchor editAs="oneCell">
    <xdr:from>
      <xdr:col>0</xdr:col>
      <xdr:colOff>1305670</xdr:colOff>
      <xdr:row>46</xdr:row>
      <xdr:rowOff>36772</xdr:rowOff>
    </xdr:from>
    <xdr:to>
      <xdr:col>0</xdr:col>
      <xdr:colOff>1723612</xdr:colOff>
      <xdr:row>48</xdr:row>
      <xdr:rowOff>73714</xdr:rowOff>
    </xdr:to>
    <xdr:pic macro="[0]!Guardar">
      <xdr:nvPicPr>
        <xdr:cNvPr id="6" name="Gráfico 5" descr="Descargar contorno">
          <a:extLst>
            <a:ext uri="{FF2B5EF4-FFF2-40B4-BE49-F238E27FC236}">
              <a16:creationId xmlns:a16="http://schemas.microsoft.com/office/drawing/2014/main" id="{19F86AB8-37E6-43F0-B253-6C10EB373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305670" y="9095047"/>
          <a:ext cx="417942" cy="417942"/>
        </a:xfrm>
        <a:prstGeom prst="rect">
          <a:avLst/>
        </a:prstGeom>
      </xdr:spPr>
    </xdr:pic>
    <xdr:clientData/>
  </xdr:twoCellAnchor>
  <xdr:twoCellAnchor editAs="oneCell">
    <xdr:from>
      <xdr:col>0</xdr:col>
      <xdr:colOff>879529</xdr:colOff>
      <xdr:row>46</xdr:row>
      <xdr:rowOff>21450</xdr:rowOff>
    </xdr:from>
    <xdr:to>
      <xdr:col>0</xdr:col>
      <xdr:colOff>1297471</xdr:colOff>
      <xdr:row>48</xdr:row>
      <xdr:rowOff>58392</xdr:rowOff>
    </xdr:to>
    <xdr:pic>
      <xdr:nvPicPr>
        <xdr:cNvPr id="7" name="Gráfico 6" descr="Fin contorn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406EED4-5EBD-4133-92CC-0CD2EC9CA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879529" y="9079725"/>
          <a:ext cx="417942" cy="4179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417942</xdr:colOff>
      <xdr:row>48</xdr:row>
      <xdr:rowOff>36942</xdr:rowOff>
    </xdr:to>
    <xdr:pic>
      <xdr:nvPicPr>
        <xdr:cNvPr id="8" name="Gráfico 7" descr="Hogar contorn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B3238E-DF6F-4DF6-9EC7-A5C41E09D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0" y="9058275"/>
          <a:ext cx="417942" cy="417942"/>
        </a:xfrm>
        <a:prstGeom prst="rect">
          <a:avLst/>
        </a:prstGeom>
      </xdr:spPr>
    </xdr:pic>
    <xdr:clientData/>
  </xdr:twoCellAnchor>
  <xdr:twoCellAnchor editAs="oneCell">
    <xdr:from>
      <xdr:col>0</xdr:col>
      <xdr:colOff>448833</xdr:colOff>
      <xdr:row>46</xdr:row>
      <xdr:rowOff>23934</xdr:rowOff>
    </xdr:from>
    <xdr:to>
      <xdr:col>0</xdr:col>
      <xdr:colOff>866775</xdr:colOff>
      <xdr:row>48</xdr:row>
      <xdr:rowOff>60876</xdr:rowOff>
    </xdr:to>
    <xdr:pic>
      <xdr:nvPicPr>
        <xdr:cNvPr id="9" name="Gráfico 8" descr="Comienzo contorn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7441B9B-91D1-4E43-867D-295FB9A45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448833" y="9082209"/>
          <a:ext cx="417942" cy="41794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285750</xdr:colOff>
      <xdr:row>0</xdr:row>
      <xdr:rowOff>161925</xdr:rowOff>
    </xdr:from>
    <xdr:to>
      <xdr:col>4</xdr:col>
      <xdr:colOff>771525</xdr:colOff>
      <xdr:row>2</xdr:row>
      <xdr:rowOff>22225</xdr:rowOff>
    </xdr:to>
    <xdr:pic>
      <xdr:nvPicPr>
        <xdr:cNvPr id="2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E1FC08-E940-44FE-82CB-D906EABD4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61925"/>
          <a:ext cx="485775" cy="47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0</xdr:colOff>
      <xdr:row>2</xdr:row>
      <xdr:rowOff>0</xdr:rowOff>
    </xdr:from>
    <xdr:to>
      <xdr:col>44</xdr:col>
      <xdr:colOff>485775</xdr:colOff>
      <xdr:row>2</xdr:row>
      <xdr:rowOff>491019</xdr:rowOff>
    </xdr:to>
    <xdr:pic>
      <xdr:nvPicPr>
        <xdr:cNvPr id="2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3315" y="513708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21404</xdr:colOff>
      <xdr:row>0</xdr:row>
      <xdr:rowOff>32107</xdr:rowOff>
    </xdr:from>
    <xdr:to>
      <xdr:col>1</xdr:col>
      <xdr:colOff>196814</xdr:colOff>
      <xdr:row>1</xdr:row>
      <xdr:rowOff>219074</xdr:rowOff>
    </xdr:to>
    <xdr:pic>
      <xdr:nvPicPr>
        <xdr:cNvPr id="3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04" y="32107"/>
          <a:ext cx="451635" cy="434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21</xdr:col>
      <xdr:colOff>485775</xdr:colOff>
      <xdr:row>2</xdr:row>
      <xdr:rowOff>69850</xdr:rowOff>
    </xdr:to>
    <xdr:pic>
      <xdr:nvPicPr>
        <xdr:cNvPr id="22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5" y="0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0</xdr:rowOff>
    </xdr:from>
    <xdr:to>
      <xdr:col>1</xdr:col>
      <xdr:colOff>9525</xdr:colOff>
      <xdr:row>2</xdr:row>
      <xdr:rowOff>69850</xdr:rowOff>
    </xdr:to>
    <xdr:pic>
      <xdr:nvPicPr>
        <xdr:cNvPr id="3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485775" cy="47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649381</xdr:colOff>
      <xdr:row>0</xdr:row>
      <xdr:rowOff>60512</xdr:rowOff>
    </xdr:from>
    <xdr:to>
      <xdr:col>2</xdr:col>
      <xdr:colOff>134471</xdr:colOff>
      <xdr:row>2</xdr:row>
      <xdr:rowOff>191485</xdr:rowOff>
    </xdr:to>
    <xdr:pic>
      <xdr:nvPicPr>
        <xdr:cNvPr id="2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9763" y="60512"/>
          <a:ext cx="538443" cy="545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38100</xdr:rowOff>
    </xdr:from>
    <xdr:to>
      <xdr:col>1</xdr:col>
      <xdr:colOff>714375</xdr:colOff>
      <xdr:row>0</xdr:row>
      <xdr:rowOff>352748</xdr:rowOff>
    </xdr:to>
    <xdr:pic>
      <xdr:nvPicPr>
        <xdr:cNvPr id="2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8100"/>
          <a:ext cx="314325" cy="314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2105026</xdr:colOff>
      <xdr:row>0</xdr:row>
      <xdr:rowOff>19051</xdr:rowOff>
    </xdr:from>
    <xdr:to>
      <xdr:col>1</xdr:col>
      <xdr:colOff>2466976</xdr:colOff>
      <xdr:row>0</xdr:row>
      <xdr:rowOff>381001</xdr:rowOff>
    </xdr:to>
    <xdr:pic>
      <xdr:nvPicPr>
        <xdr:cNvPr id="2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1" y="19051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1838326</xdr:colOff>
      <xdr:row>62</xdr:row>
      <xdr:rowOff>109537</xdr:rowOff>
    </xdr:from>
    <xdr:to>
      <xdr:col>15</xdr:col>
      <xdr:colOff>171451</xdr:colOff>
      <xdr:row>68</xdr:row>
      <xdr:rowOff>19050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56</xdr:col>
      <xdr:colOff>0</xdr:colOff>
      <xdr:row>0</xdr:row>
      <xdr:rowOff>0</xdr:rowOff>
    </xdr:from>
    <xdr:to>
      <xdr:col>56</xdr:col>
      <xdr:colOff>485775</xdr:colOff>
      <xdr:row>1</xdr:row>
      <xdr:rowOff>47625</xdr:rowOff>
    </xdr:to>
    <xdr:pic>
      <xdr:nvPicPr>
        <xdr:cNvPr id="3" name="Picture 1" descr="MC900432680[1]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0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0</xdr:row>
      <xdr:rowOff>0</xdr:rowOff>
    </xdr:from>
    <xdr:to>
      <xdr:col>1</xdr:col>
      <xdr:colOff>1200150</xdr:colOff>
      <xdr:row>1</xdr:row>
      <xdr:rowOff>47625</xdr:rowOff>
    </xdr:to>
    <xdr:pic>
      <xdr:nvPicPr>
        <xdr:cNvPr id="4" name="Picture 1" descr="MC900432680[1]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0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0</xdr:col>
      <xdr:colOff>542925</xdr:colOff>
      <xdr:row>2</xdr:row>
      <xdr:rowOff>0</xdr:rowOff>
    </xdr:to>
    <xdr:pic>
      <xdr:nvPicPr>
        <xdr:cNvPr id="2" name="Picture 1" descr="MC900432680[1]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c.procornella.cat\OPEN%20FUTURE\ACTIVIDADES\SESIONES\2016-09-21%20PLAN%20FINANCIERO\Plan%20Viabilidad%20COF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re/ACTIVITATS%20CENTRE/TIPO%20ACTIVIDADES/CORNELL&#192;%20OPEN%20FUTURE/ACTIVIDADES%20FASE%203%202020/2020-10-09%20One%20Pager%20y%20Plan%20de%20Viabilidad/PV%20Procornella%20co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Inversión-Financiación"/>
      <sheetName val="Líneas de negocio"/>
      <sheetName val="Ventas"/>
      <sheetName val="Personal retribución fija"/>
      <sheetName val="Personal retribución variable"/>
      <sheetName val="Total Personal"/>
      <sheetName val="Gastos"/>
      <sheetName val="Tabla préstamo inicial"/>
      <sheetName val="Tabla préstamo post"/>
      <sheetName val="Total préstamos"/>
      <sheetName val="Resultado x Actividad"/>
      <sheetName val="Resultados"/>
      <sheetName val="Resultados mensuales "/>
      <sheetName val="Tesorería mensual"/>
      <sheetName val="Balance"/>
      <sheetName val="Cuestionario"/>
      <sheetName val="Plan ejecutivo"/>
      <sheetName val="Plan Empresa"/>
      <sheetName val="IRPF-IVA-IS"/>
      <sheetName val="INGRESOS-GASTOS"/>
      <sheetName val="AMORTIZACIÓN-BALANCE"/>
      <sheetName val="DATOS"/>
      <sheetName val="ANEXO 1"/>
      <sheetName val="ANEXO 2"/>
      <sheetName val="ANEXO 3"/>
      <sheetName val="ANEXO 4"/>
    </sheetNames>
    <sheetDataSet>
      <sheetData sheetId="0"/>
      <sheetData sheetId="1">
        <row r="45">
          <cell r="F4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C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Cuestionario"/>
      <sheetName val="Inversión-Financiación"/>
      <sheetName val="Catálogo"/>
      <sheetName val="Personal retribución"/>
      <sheetName val="Clientes"/>
      <sheetName val="Otros Gastos"/>
      <sheetName val="Ventas"/>
      <sheetName val="INGRESOS-GASTOS"/>
      <sheetName val="Total préstamos"/>
      <sheetName val="IRPF-IVA-IS"/>
      <sheetName val="Ventas diarias"/>
      <sheetName val="Balance"/>
      <sheetName val="AMORTIZACIÓN-BALANCE"/>
      <sheetName val="Resultado x Actividad"/>
      <sheetName val="Resultados"/>
      <sheetName val="Resultados mensuales "/>
      <sheetName val="Tesorería mensual"/>
      <sheetName val="One Pager"/>
      <sheetName val="Resumen ejecutivo"/>
      <sheetName val="Plan Empresa"/>
      <sheetName val="Valoració"/>
      <sheetName val="Ventas por comercial"/>
      <sheetName val="Tabla préstamo inicial"/>
      <sheetName val="Total préstamo post"/>
      <sheetName val="DATOS"/>
      <sheetName val="Plan de Trabajo"/>
      <sheetName val="Buenas y malas prácticas"/>
      <sheetName val="Infografia"/>
      <sheetName val="Captación clientes"/>
      <sheetName val="Funne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">
          <cell r="A3" t="str">
            <v>Llamadas teléfono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Centre/PLANES%20DE%20VIABILIDAD/PLANTILLAS%20PLANES%20DE%20VIABILIDAD%20DEFINITIVOS/-%20Plan%20de%20viabilidad%20con%20ventas%20diaris%20y%20macros.xlsm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rdi Martinez" refreshedDate="43516.499930092592" createdVersion="4" refreshedVersion="4" minRefreshableVersion="3" recordCount="365" xr:uid="{00000000-000A-0000-FFFF-FFFF00000000}">
  <cacheSource type="worksheet">
    <worksheetSource ref="A2:C367" sheet="Calendario" r:id="rId2"/>
  </cacheSource>
  <cacheFields count="3">
    <cacheField name="Día" numFmtId="178">
      <sharedItems containsSemiMixedTypes="0" containsNonDate="0" containsDate="1" containsString="0" minDate="2019-01-01T00:00:00" maxDate="2020-01-01T00:00:00" count="365">
        <d v="2019-01-01T00:00:00"/>
        <d v="2019-01-02T00:00:00"/>
        <d v="2019-01-03T00:00:00"/>
        <d v="2019-01-04T00:00:00"/>
        <d v="2019-01-05T00:00:00"/>
        <d v="2019-01-06T00:00:00"/>
        <d v="2019-01-07T00:00:00"/>
        <d v="2019-01-08T00:00:00"/>
        <d v="2019-01-09T00:00:00"/>
        <d v="2019-01-10T00:00:00"/>
        <d v="2019-01-11T00:00:00"/>
        <d v="2019-01-12T00:00:00"/>
        <d v="2019-01-13T00:00:00"/>
        <d v="2019-01-14T00:00:00"/>
        <d v="2019-01-15T00:00:00"/>
        <d v="2019-01-16T00:00:00"/>
        <d v="2019-01-17T00:00:00"/>
        <d v="2019-01-18T00:00:00"/>
        <d v="2019-01-19T00:00:00"/>
        <d v="2019-01-20T00:00:00"/>
        <d v="2019-01-21T00:00:00"/>
        <d v="2019-01-22T00:00:00"/>
        <d v="2019-01-23T00:00:00"/>
        <d v="2019-01-24T00:00:00"/>
        <d v="2019-01-25T00:00:00"/>
        <d v="2019-01-26T00:00:00"/>
        <d v="2019-01-27T00:00:00"/>
        <d v="2019-01-28T00:00:00"/>
        <d v="2019-01-29T00:00:00"/>
        <d v="2019-01-30T00:00:00"/>
        <d v="2019-01-31T00:00:00"/>
        <d v="2019-02-01T00:00:00"/>
        <d v="2019-02-02T00:00:00"/>
        <d v="2019-02-03T00:00:00"/>
        <d v="2019-02-04T00:00:00"/>
        <d v="2019-02-05T00:00:00"/>
        <d v="2019-02-06T00:00:00"/>
        <d v="2019-02-07T00:00:00"/>
        <d v="2019-02-08T00:00:00"/>
        <d v="2019-02-09T00:00:00"/>
        <d v="2019-02-10T00:00:00"/>
        <d v="2019-02-11T00:00:00"/>
        <d v="2019-02-12T00:00:00"/>
        <d v="2019-02-13T00:00:00"/>
        <d v="2019-02-14T00:00:00"/>
        <d v="2019-02-15T00:00:00"/>
        <d v="2019-02-16T00:00:00"/>
        <d v="2019-02-17T00:00:00"/>
        <d v="2019-02-18T00:00:00"/>
        <d v="2019-02-19T00:00:00"/>
        <d v="2019-02-20T00:00:00"/>
        <d v="2019-02-21T00:00:00"/>
        <d v="2019-02-22T00:00:00"/>
        <d v="2019-02-23T00:00:00"/>
        <d v="2019-02-24T00:00:00"/>
        <d v="2019-02-25T00:00:00"/>
        <d v="2019-02-26T00:00:00"/>
        <d v="2019-02-27T00:00:00"/>
        <d v="2019-02-28T00:00:00"/>
        <d v="2019-03-01T00:00:00"/>
        <d v="2019-03-02T00:00:00"/>
        <d v="2019-03-03T00:00:00"/>
        <d v="2019-03-04T00:00:00"/>
        <d v="2019-03-05T00:00:00"/>
        <d v="2019-03-06T00:00:00"/>
        <d v="2019-03-07T00:00:00"/>
        <d v="2019-03-08T00:00:00"/>
        <d v="2019-03-09T00:00:00"/>
        <d v="2019-03-10T00:00:00"/>
        <d v="2019-03-11T00:00:00"/>
        <d v="2019-03-12T00:00:00"/>
        <d v="2019-03-13T00:00:00"/>
        <d v="2019-03-14T00:00:00"/>
        <d v="2019-03-15T00:00:00"/>
        <d v="2019-03-16T00:00:00"/>
        <d v="2019-03-17T00:00:00"/>
        <d v="2019-03-18T00:00:00"/>
        <d v="2019-03-19T00:00:00"/>
        <d v="2019-03-20T00:00:00"/>
        <d v="2019-03-21T00:00:00"/>
        <d v="2019-03-22T00:00:00"/>
        <d v="2019-03-23T00:00:00"/>
        <d v="2019-03-24T00:00:00"/>
        <d v="2019-03-25T00:00:00"/>
        <d v="2019-03-26T00:00:00"/>
        <d v="2019-03-27T00:00:00"/>
        <d v="2019-03-28T00:00:00"/>
        <d v="2019-03-29T00:00:00"/>
        <d v="2019-03-30T00:00:00"/>
        <d v="2019-03-31T00:00:00"/>
        <d v="2019-04-01T00:00:00"/>
        <d v="2019-04-02T00:00:00"/>
        <d v="2019-04-03T00:00:00"/>
        <d v="2019-04-04T00:00:00"/>
        <d v="2019-04-05T00:00:00"/>
        <d v="2019-04-06T00:00:00"/>
        <d v="2019-04-07T00:00:00"/>
        <d v="2019-04-08T00:00:00"/>
        <d v="2019-04-09T00:00:00"/>
        <d v="2019-04-10T00:00:00"/>
        <d v="2019-04-11T00:00:00"/>
        <d v="2019-04-12T00:00:00"/>
        <d v="2019-04-13T00:00:00"/>
        <d v="2019-04-14T00:00:00"/>
        <d v="2019-04-15T00:00:00"/>
        <d v="2019-04-16T00:00:00"/>
        <d v="2019-04-17T00:00:00"/>
        <d v="2019-04-18T00:00:00"/>
        <d v="2019-04-19T00:00:00"/>
        <d v="2019-04-20T00:00:00"/>
        <d v="2019-04-21T00:00:00"/>
        <d v="2019-04-22T00:00:00"/>
        <d v="2019-04-23T00:00:00"/>
        <d v="2019-04-24T00:00:00"/>
        <d v="2019-04-25T00:00:00"/>
        <d v="2019-04-26T00:00:00"/>
        <d v="2019-04-27T00:00:00"/>
        <d v="2019-04-28T00:00:00"/>
        <d v="2019-04-29T00:00:00"/>
        <d v="2019-04-30T00:00:00"/>
        <d v="2019-05-01T00:00:00"/>
        <d v="2019-05-02T00:00:00"/>
        <d v="2019-05-03T00:00:00"/>
        <d v="2019-05-04T00:00:00"/>
        <d v="2019-05-05T00:00:00"/>
        <d v="2019-05-06T00:00:00"/>
        <d v="2019-05-07T00:00:00"/>
        <d v="2019-05-08T00:00:00"/>
        <d v="2019-05-09T00:00:00"/>
        <d v="2019-05-10T00:00:00"/>
        <d v="2019-05-11T00:00:00"/>
        <d v="2019-05-12T00:00:00"/>
        <d v="2019-05-13T00:00:00"/>
        <d v="2019-05-14T00:00:00"/>
        <d v="2019-05-15T00:00:00"/>
        <d v="2019-05-16T00:00:00"/>
        <d v="2019-05-17T00:00:00"/>
        <d v="2019-05-18T00:00:00"/>
        <d v="2019-05-19T00:00:00"/>
        <d v="2019-05-20T00:00:00"/>
        <d v="2019-05-21T00:00:00"/>
        <d v="2019-05-22T00:00:00"/>
        <d v="2019-05-23T00:00:00"/>
        <d v="2019-05-24T00:00:00"/>
        <d v="2019-05-25T00:00:00"/>
        <d v="2019-05-26T00:00:00"/>
        <d v="2019-05-27T00:00:00"/>
        <d v="2019-05-28T00:00:00"/>
        <d v="2019-05-29T00:00:00"/>
        <d v="2019-05-30T00:00:00"/>
        <d v="2019-05-31T00:00:00"/>
        <d v="2019-06-01T00:00:00"/>
        <d v="2019-06-02T00:00:00"/>
        <d v="2019-06-03T00:00:00"/>
        <d v="2019-06-04T00:00:00"/>
        <d v="2019-06-05T00:00:00"/>
        <d v="2019-06-06T00:00:00"/>
        <d v="2019-06-07T00:00:00"/>
        <d v="2019-06-08T00:00:00"/>
        <d v="2019-06-09T00:00:00"/>
        <d v="2019-06-10T00:00:00"/>
        <d v="2019-06-11T00:00:00"/>
        <d v="2019-06-12T00:00:00"/>
        <d v="2019-06-13T00:00:00"/>
        <d v="2019-06-14T00:00:00"/>
        <d v="2019-06-15T00:00:00"/>
        <d v="2019-06-16T00:00:00"/>
        <d v="2019-06-17T00:00:00"/>
        <d v="2019-06-18T00:00:00"/>
        <d v="2019-06-19T00:00:00"/>
        <d v="2019-06-20T00:00:00"/>
        <d v="2019-06-21T00:00:00"/>
        <d v="2019-06-22T00:00:00"/>
        <d v="2019-06-23T00:00:00"/>
        <d v="2019-06-24T00:00:00"/>
        <d v="2019-06-25T00:00:00"/>
        <d v="2019-06-26T00:00:00"/>
        <d v="2019-06-27T00:00:00"/>
        <d v="2019-06-28T00:00:00"/>
        <d v="2019-06-29T00:00:00"/>
        <d v="2019-06-30T00:00:00"/>
        <d v="2019-07-01T00:00:00"/>
        <d v="2019-07-02T00:00:00"/>
        <d v="2019-07-03T00:00:00"/>
        <d v="2019-07-04T00:00:00"/>
        <d v="2019-07-05T00:00:00"/>
        <d v="2019-07-06T00:00:00"/>
        <d v="2019-07-07T00:00:00"/>
        <d v="2019-07-08T00:00:00"/>
        <d v="2019-07-09T00:00:00"/>
        <d v="2019-07-10T00:00:00"/>
        <d v="2019-07-11T00:00:00"/>
        <d v="2019-07-12T00:00:00"/>
        <d v="2019-07-13T00:00:00"/>
        <d v="2019-07-14T00:00:00"/>
        <d v="2019-07-15T00:00:00"/>
        <d v="2019-07-16T00:00:00"/>
        <d v="2019-07-17T00:00:00"/>
        <d v="2019-07-18T00:00:00"/>
        <d v="2019-07-19T00:00:00"/>
        <d v="2019-07-20T00:00:00"/>
        <d v="2019-07-21T00:00:00"/>
        <d v="2019-07-22T00:00:00"/>
        <d v="2019-07-23T00:00:00"/>
        <d v="2019-07-24T00:00:00"/>
        <d v="2019-07-25T00:00:00"/>
        <d v="2019-07-26T00:00:00"/>
        <d v="2019-07-27T00:00:00"/>
        <d v="2019-07-28T00:00:00"/>
        <d v="2019-07-29T00:00:00"/>
        <d v="2019-07-30T00:00:00"/>
        <d v="2019-07-31T00:00:00"/>
        <d v="2019-08-01T00:00:00"/>
        <d v="2019-08-02T00:00:00"/>
        <d v="2019-08-03T00:00:00"/>
        <d v="2019-08-04T00:00:00"/>
        <d v="2019-08-05T00:00:00"/>
        <d v="2019-08-06T00:00:00"/>
        <d v="2019-08-07T00:00:00"/>
        <d v="2019-08-08T00:00:00"/>
        <d v="2019-08-09T00:00:00"/>
        <d v="2019-08-10T00:00:00"/>
        <d v="2019-08-11T00:00:00"/>
        <d v="2019-08-12T00:00:00"/>
        <d v="2019-08-13T00:00:00"/>
        <d v="2019-08-14T00:00:00"/>
        <d v="2019-08-15T00:00:00"/>
        <d v="2019-08-16T00:00:00"/>
        <d v="2019-08-17T00:00:00"/>
        <d v="2019-08-18T00:00:00"/>
        <d v="2019-08-19T00:00:00"/>
        <d v="2019-08-20T00:00:00"/>
        <d v="2019-08-21T00:00:00"/>
        <d v="2019-08-22T00:00:00"/>
        <d v="2019-08-23T00:00:00"/>
        <d v="2019-08-24T00:00:00"/>
        <d v="2019-08-25T00:00:00"/>
        <d v="2019-08-26T00:00:00"/>
        <d v="2019-08-27T00:00:00"/>
        <d v="2019-08-28T00:00:00"/>
        <d v="2019-08-29T00:00:00"/>
        <d v="2019-08-30T00:00:00"/>
        <d v="2019-08-31T00:00:00"/>
        <d v="2019-09-01T00:00:00"/>
        <d v="2019-09-02T00:00:00"/>
        <d v="2019-09-03T00:00:00"/>
        <d v="2019-09-04T00:00:00"/>
        <d v="2019-09-05T00:00:00"/>
        <d v="2019-09-06T00:00:00"/>
        <d v="2019-09-07T00:00:00"/>
        <d v="2019-09-08T00:00:00"/>
        <d v="2019-09-09T00:00:00"/>
        <d v="2019-09-10T00:00:00"/>
        <d v="2019-09-11T00:00:00"/>
        <d v="2019-09-12T00:00:00"/>
        <d v="2019-09-13T00:00:00"/>
        <d v="2019-09-14T00:00:00"/>
        <d v="2019-09-15T00:00:00"/>
        <d v="2019-09-16T00:00:00"/>
        <d v="2019-09-17T00:00:00"/>
        <d v="2019-09-18T00:00:00"/>
        <d v="2019-09-19T00:00:00"/>
        <d v="2019-09-20T00:00:00"/>
        <d v="2019-09-21T00:00:00"/>
        <d v="2019-09-22T00:00:00"/>
        <d v="2019-09-23T00:00:00"/>
        <d v="2019-09-24T00:00:00"/>
        <d v="2019-09-25T00:00:00"/>
        <d v="2019-09-26T00:00:00"/>
        <d v="2019-09-27T00:00:00"/>
        <d v="2019-09-28T00:00:00"/>
        <d v="2019-09-29T00:00:00"/>
        <d v="2019-09-30T00:00:00"/>
        <d v="2019-10-01T00:00:00"/>
        <d v="2019-10-02T00:00:00"/>
        <d v="2019-10-03T00:00:00"/>
        <d v="2019-10-04T00:00:00"/>
        <d v="2019-10-05T00:00:00"/>
        <d v="2019-10-06T00:00:00"/>
        <d v="2019-10-07T00:00:00"/>
        <d v="2019-10-08T00:00:00"/>
        <d v="2019-10-09T00:00:00"/>
        <d v="2019-10-10T00:00:00"/>
        <d v="2019-10-11T00:00:00"/>
        <d v="2019-10-12T00:00:00"/>
        <d v="2019-10-13T00:00:00"/>
        <d v="2019-10-14T00:00:00"/>
        <d v="2019-10-15T00:00:00"/>
        <d v="2019-10-16T00:00:00"/>
        <d v="2019-10-17T00:00:00"/>
        <d v="2019-10-18T00:00:00"/>
        <d v="2019-10-19T00:00:00"/>
        <d v="2019-10-20T00:00:00"/>
        <d v="2019-10-21T00:00:00"/>
        <d v="2019-10-22T00:00:00"/>
        <d v="2019-10-23T00:00:00"/>
        <d v="2019-10-24T00:00:00"/>
        <d v="2019-10-25T00:00:00"/>
        <d v="2019-10-26T00:00:00"/>
        <d v="2019-10-27T00:00:00"/>
        <d v="2019-10-28T00:00:00"/>
        <d v="2019-10-29T00:00:00"/>
        <d v="2019-10-30T00:00:00"/>
        <d v="2019-10-31T00:00:00"/>
        <d v="2019-11-01T00:00:00"/>
        <d v="2019-11-02T00:00:00"/>
        <d v="2019-11-03T00:00:00"/>
        <d v="2019-11-04T00:00:00"/>
        <d v="2019-11-05T00:00:00"/>
        <d v="2019-11-06T00:00:00"/>
        <d v="2019-11-07T00:00:00"/>
        <d v="2019-11-08T00:00:00"/>
        <d v="2019-11-09T00:00:00"/>
        <d v="2019-11-10T00:00:00"/>
        <d v="2019-11-11T00:00:00"/>
        <d v="2019-11-12T00:00:00"/>
        <d v="2019-11-13T00:00:00"/>
        <d v="2019-11-14T00:00:00"/>
        <d v="2019-11-15T00:00:00"/>
        <d v="2019-11-16T00:00:00"/>
        <d v="2019-11-17T00:00:00"/>
        <d v="2019-11-18T00:00:00"/>
        <d v="2019-11-19T00:00:00"/>
        <d v="2019-11-20T00:00:00"/>
        <d v="2019-11-21T00:00:00"/>
        <d v="2019-11-22T00:00:00"/>
        <d v="2019-11-23T00:00:00"/>
        <d v="2019-11-24T00:00:00"/>
        <d v="2019-11-25T00:00:00"/>
        <d v="2019-11-26T00:00:00"/>
        <d v="2019-11-27T00:00:00"/>
        <d v="2019-11-28T00:00:00"/>
        <d v="2019-11-29T00:00:00"/>
        <d v="2019-11-30T00:00:00"/>
        <d v="2019-12-01T00:00:00"/>
        <d v="2019-12-02T00:00:00"/>
        <d v="2019-12-03T00:00:00"/>
        <d v="2019-12-04T00:00:00"/>
        <d v="2019-12-05T00:00:00"/>
        <d v="2019-12-06T00:00:00"/>
        <d v="2019-12-07T00:00:00"/>
        <d v="2019-12-08T00:00:00"/>
        <d v="2019-12-09T00:00:00"/>
        <d v="2019-12-10T00:00:00"/>
        <d v="2019-12-11T00:00:00"/>
        <d v="2019-12-12T00:00:00"/>
        <d v="2019-12-13T00:00:00"/>
        <d v="2019-12-14T00:00:00"/>
        <d v="2019-12-15T00:00:00"/>
        <d v="2019-12-16T00:00:00"/>
        <d v="2019-12-17T00:00:00"/>
        <d v="2019-12-18T00:00:00"/>
        <d v="2019-12-19T00:00:00"/>
        <d v="2019-12-20T00:00:00"/>
        <d v="2019-12-21T00:00:00"/>
        <d v="2019-12-22T00:00:00"/>
        <d v="2019-12-23T00:00:00"/>
        <d v="2019-12-24T00:00:00"/>
        <d v="2019-12-25T00:00:00"/>
        <d v="2019-12-26T00:00:00"/>
        <d v="2019-12-27T00:00:00"/>
        <d v="2019-12-28T00:00:00"/>
        <d v="2019-12-29T00:00:00"/>
        <d v="2019-12-30T00:00:00"/>
        <d v="2019-12-31T00:00:00"/>
      </sharedItems>
      <fieldGroup base="0">
        <rangePr groupBy="months" startDate="2019-01-01T00:00:00" endDate="2020-01-01T00:00:00"/>
        <groupItems count="14">
          <s v="&lt;01/01/2019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01/01/2020"/>
        </groupItems>
      </fieldGroup>
    </cacheField>
    <cacheField name="Día sem." numFmtId="0">
      <sharedItems containsSemiMixedTypes="0" containsString="0" containsNumber="1" containsInteger="1" minValue="1" maxValue="7"/>
    </cacheField>
    <cacheField name="Fest/Laboral" numFmtId="0">
      <sharedItems count="2">
        <s v="Festivo"/>
        <s v="Labo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5">
  <r>
    <x v="0"/>
    <n v="2"/>
    <x v="0"/>
  </r>
  <r>
    <x v="1"/>
    <n v="3"/>
    <x v="1"/>
  </r>
  <r>
    <x v="2"/>
    <n v="4"/>
    <x v="1"/>
  </r>
  <r>
    <x v="3"/>
    <n v="5"/>
    <x v="1"/>
  </r>
  <r>
    <x v="4"/>
    <n v="6"/>
    <x v="0"/>
  </r>
  <r>
    <x v="5"/>
    <n v="7"/>
    <x v="0"/>
  </r>
  <r>
    <x v="6"/>
    <n v="1"/>
    <x v="1"/>
  </r>
  <r>
    <x v="7"/>
    <n v="2"/>
    <x v="1"/>
  </r>
  <r>
    <x v="8"/>
    <n v="3"/>
    <x v="1"/>
  </r>
  <r>
    <x v="9"/>
    <n v="4"/>
    <x v="1"/>
  </r>
  <r>
    <x v="10"/>
    <n v="5"/>
    <x v="1"/>
  </r>
  <r>
    <x v="11"/>
    <n v="6"/>
    <x v="0"/>
  </r>
  <r>
    <x v="12"/>
    <n v="7"/>
    <x v="0"/>
  </r>
  <r>
    <x v="13"/>
    <n v="1"/>
    <x v="1"/>
  </r>
  <r>
    <x v="14"/>
    <n v="2"/>
    <x v="1"/>
  </r>
  <r>
    <x v="15"/>
    <n v="3"/>
    <x v="1"/>
  </r>
  <r>
    <x v="16"/>
    <n v="4"/>
    <x v="1"/>
  </r>
  <r>
    <x v="17"/>
    <n v="5"/>
    <x v="1"/>
  </r>
  <r>
    <x v="18"/>
    <n v="6"/>
    <x v="0"/>
  </r>
  <r>
    <x v="19"/>
    <n v="7"/>
    <x v="0"/>
  </r>
  <r>
    <x v="20"/>
    <n v="1"/>
    <x v="1"/>
  </r>
  <r>
    <x v="21"/>
    <n v="2"/>
    <x v="1"/>
  </r>
  <r>
    <x v="22"/>
    <n v="3"/>
    <x v="1"/>
  </r>
  <r>
    <x v="23"/>
    <n v="4"/>
    <x v="1"/>
  </r>
  <r>
    <x v="24"/>
    <n v="5"/>
    <x v="1"/>
  </r>
  <r>
    <x v="25"/>
    <n v="6"/>
    <x v="0"/>
  </r>
  <r>
    <x v="26"/>
    <n v="7"/>
    <x v="0"/>
  </r>
  <r>
    <x v="27"/>
    <n v="1"/>
    <x v="1"/>
  </r>
  <r>
    <x v="28"/>
    <n v="2"/>
    <x v="1"/>
  </r>
  <r>
    <x v="29"/>
    <n v="3"/>
    <x v="1"/>
  </r>
  <r>
    <x v="30"/>
    <n v="4"/>
    <x v="1"/>
  </r>
  <r>
    <x v="31"/>
    <n v="5"/>
    <x v="1"/>
  </r>
  <r>
    <x v="32"/>
    <n v="6"/>
    <x v="0"/>
  </r>
  <r>
    <x v="33"/>
    <n v="7"/>
    <x v="0"/>
  </r>
  <r>
    <x v="34"/>
    <n v="1"/>
    <x v="1"/>
  </r>
  <r>
    <x v="35"/>
    <n v="2"/>
    <x v="1"/>
  </r>
  <r>
    <x v="36"/>
    <n v="3"/>
    <x v="1"/>
  </r>
  <r>
    <x v="37"/>
    <n v="4"/>
    <x v="1"/>
  </r>
  <r>
    <x v="38"/>
    <n v="5"/>
    <x v="1"/>
  </r>
  <r>
    <x v="39"/>
    <n v="6"/>
    <x v="0"/>
  </r>
  <r>
    <x v="40"/>
    <n v="7"/>
    <x v="0"/>
  </r>
  <r>
    <x v="41"/>
    <n v="1"/>
    <x v="1"/>
  </r>
  <r>
    <x v="42"/>
    <n v="2"/>
    <x v="1"/>
  </r>
  <r>
    <x v="43"/>
    <n v="3"/>
    <x v="1"/>
  </r>
  <r>
    <x v="44"/>
    <n v="4"/>
    <x v="1"/>
  </r>
  <r>
    <x v="45"/>
    <n v="5"/>
    <x v="1"/>
  </r>
  <r>
    <x v="46"/>
    <n v="6"/>
    <x v="0"/>
  </r>
  <r>
    <x v="47"/>
    <n v="7"/>
    <x v="0"/>
  </r>
  <r>
    <x v="48"/>
    <n v="1"/>
    <x v="1"/>
  </r>
  <r>
    <x v="49"/>
    <n v="2"/>
    <x v="1"/>
  </r>
  <r>
    <x v="50"/>
    <n v="3"/>
    <x v="1"/>
  </r>
  <r>
    <x v="51"/>
    <n v="4"/>
    <x v="1"/>
  </r>
  <r>
    <x v="52"/>
    <n v="5"/>
    <x v="1"/>
  </r>
  <r>
    <x v="53"/>
    <n v="6"/>
    <x v="0"/>
  </r>
  <r>
    <x v="54"/>
    <n v="7"/>
    <x v="0"/>
  </r>
  <r>
    <x v="55"/>
    <n v="1"/>
    <x v="1"/>
  </r>
  <r>
    <x v="56"/>
    <n v="2"/>
    <x v="1"/>
  </r>
  <r>
    <x v="57"/>
    <n v="3"/>
    <x v="1"/>
  </r>
  <r>
    <x v="58"/>
    <n v="4"/>
    <x v="1"/>
  </r>
  <r>
    <x v="59"/>
    <n v="5"/>
    <x v="1"/>
  </r>
  <r>
    <x v="60"/>
    <n v="6"/>
    <x v="0"/>
  </r>
  <r>
    <x v="61"/>
    <n v="7"/>
    <x v="0"/>
  </r>
  <r>
    <x v="62"/>
    <n v="1"/>
    <x v="1"/>
  </r>
  <r>
    <x v="63"/>
    <n v="2"/>
    <x v="1"/>
  </r>
  <r>
    <x v="64"/>
    <n v="3"/>
    <x v="1"/>
  </r>
  <r>
    <x v="65"/>
    <n v="4"/>
    <x v="1"/>
  </r>
  <r>
    <x v="66"/>
    <n v="5"/>
    <x v="1"/>
  </r>
  <r>
    <x v="67"/>
    <n v="6"/>
    <x v="0"/>
  </r>
  <r>
    <x v="68"/>
    <n v="7"/>
    <x v="0"/>
  </r>
  <r>
    <x v="69"/>
    <n v="1"/>
    <x v="1"/>
  </r>
  <r>
    <x v="70"/>
    <n v="2"/>
    <x v="1"/>
  </r>
  <r>
    <x v="71"/>
    <n v="3"/>
    <x v="1"/>
  </r>
  <r>
    <x v="72"/>
    <n v="4"/>
    <x v="1"/>
  </r>
  <r>
    <x v="73"/>
    <n v="5"/>
    <x v="1"/>
  </r>
  <r>
    <x v="74"/>
    <n v="6"/>
    <x v="0"/>
  </r>
  <r>
    <x v="75"/>
    <n v="7"/>
    <x v="0"/>
  </r>
  <r>
    <x v="76"/>
    <n v="1"/>
    <x v="1"/>
  </r>
  <r>
    <x v="77"/>
    <n v="2"/>
    <x v="1"/>
  </r>
  <r>
    <x v="78"/>
    <n v="3"/>
    <x v="1"/>
  </r>
  <r>
    <x v="79"/>
    <n v="4"/>
    <x v="1"/>
  </r>
  <r>
    <x v="80"/>
    <n v="5"/>
    <x v="1"/>
  </r>
  <r>
    <x v="81"/>
    <n v="6"/>
    <x v="0"/>
  </r>
  <r>
    <x v="82"/>
    <n v="7"/>
    <x v="0"/>
  </r>
  <r>
    <x v="83"/>
    <n v="1"/>
    <x v="1"/>
  </r>
  <r>
    <x v="84"/>
    <n v="2"/>
    <x v="1"/>
  </r>
  <r>
    <x v="85"/>
    <n v="3"/>
    <x v="1"/>
  </r>
  <r>
    <x v="86"/>
    <n v="4"/>
    <x v="1"/>
  </r>
  <r>
    <x v="87"/>
    <n v="5"/>
    <x v="1"/>
  </r>
  <r>
    <x v="88"/>
    <n v="6"/>
    <x v="0"/>
  </r>
  <r>
    <x v="89"/>
    <n v="7"/>
    <x v="0"/>
  </r>
  <r>
    <x v="90"/>
    <n v="1"/>
    <x v="1"/>
  </r>
  <r>
    <x v="91"/>
    <n v="2"/>
    <x v="1"/>
  </r>
  <r>
    <x v="92"/>
    <n v="3"/>
    <x v="1"/>
  </r>
  <r>
    <x v="93"/>
    <n v="4"/>
    <x v="1"/>
  </r>
  <r>
    <x v="94"/>
    <n v="5"/>
    <x v="1"/>
  </r>
  <r>
    <x v="95"/>
    <n v="6"/>
    <x v="0"/>
  </r>
  <r>
    <x v="96"/>
    <n v="7"/>
    <x v="0"/>
  </r>
  <r>
    <x v="97"/>
    <n v="1"/>
    <x v="1"/>
  </r>
  <r>
    <x v="98"/>
    <n v="2"/>
    <x v="1"/>
  </r>
  <r>
    <x v="99"/>
    <n v="3"/>
    <x v="1"/>
  </r>
  <r>
    <x v="100"/>
    <n v="4"/>
    <x v="1"/>
  </r>
  <r>
    <x v="101"/>
    <n v="5"/>
    <x v="1"/>
  </r>
  <r>
    <x v="102"/>
    <n v="6"/>
    <x v="0"/>
  </r>
  <r>
    <x v="103"/>
    <n v="7"/>
    <x v="0"/>
  </r>
  <r>
    <x v="104"/>
    <n v="1"/>
    <x v="1"/>
  </r>
  <r>
    <x v="105"/>
    <n v="2"/>
    <x v="1"/>
  </r>
  <r>
    <x v="106"/>
    <n v="3"/>
    <x v="1"/>
  </r>
  <r>
    <x v="107"/>
    <n v="4"/>
    <x v="1"/>
  </r>
  <r>
    <x v="108"/>
    <n v="5"/>
    <x v="0"/>
  </r>
  <r>
    <x v="109"/>
    <n v="6"/>
    <x v="0"/>
  </r>
  <r>
    <x v="110"/>
    <n v="7"/>
    <x v="0"/>
  </r>
  <r>
    <x v="111"/>
    <n v="1"/>
    <x v="0"/>
  </r>
  <r>
    <x v="112"/>
    <n v="2"/>
    <x v="1"/>
  </r>
  <r>
    <x v="113"/>
    <n v="3"/>
    <x v="1"/>
  </r>
  <r>
    <x v="114"/>
    <n v="4"/>
    <x v="1"/>
  </r>
  <r>
    <x v="115"/>
    <n v="5"/>
    <x v="1"/>
  </r>
  <r>
    <x v="116"/>
    <n v="6"/>
    <x v="0"/>
  </r>
  <r>
    <x v="117"/>
    <n v="7"/>
    <x v="0"/>
  </r>
  <r>
    <x v="118"/>
    <n v="1"/>
    <x v="1"/>
  </r>
  <r>
    <x v="119"/>
    <n v="2"/>
    <x v="1"/>
  </r>
  <r>
    <x v="120"/>
    <n v="3"/>
    <x v="0"/>
  </r>
  <r>
    <x v="121"/>
    <n v="4"/>
    <x v="1"/>
  </r>
  <r>
    <x v="122"/>
    <n v="5"/>
    <x v="1"/>
  </r>
  <r>
    <x v="123"/>
    <n v="6"/>
    <x v="0"/>
  </r>
  <r>
    <x v="124"/>
    <n v="7"/>
    <x v="0"/>
  </r>
  <r>
    <x v="125"/>
    <n v="1"/>
    <x v="1"/>
  </r>
  <r>
    <x v="126"/>
    <n v="2"/>
    <x v="1"/>
  </r>
  <r>
    <x v="127"/>
    <n v="3"/>
    <x v="1"/>
  </r>
  <r>
    <x v="128"/>
    <n v="4"/>
    <x v="1"/>
  </r>
  <r>
    <x v="129"/>
    <n v="5"/>
    <x v="1"/>
  </r>
  <r>
    <x v="130"/>
    <n v="6"/>
    <x v="0"/>
  </r>
  <r>
    <x v="131"/>
    <n v="7"/>
    <x v="0"/>
  </r>
  <r>
    <x v="132"/>
    <n v="1"/>
    <x v="1"/>
  </r>
  <r>
    <x v="133"/>
    <n v="2"/>
    <x v="1"/>
  </r>
  <r>
    <x v="134"/>
    <n v="3"/>
    <x v="1"/>
  </r>
  <r>
    <x v="135"/>
    <n v="4"/>
    <x v="1"/>
  </r>
  <r>
    <x v="136"/>
    <n v="5"/>
    <x v="1"/>
  </r>
  <r>
    <x v="137"/>
    <n v="6"/>
    <x v="0"/>
  </r>
  <r>
    <x v="138"/>
    <n v="7"/>
    <x v="0"/>
  </r>
  <r>
    <x v="139"/>
    <n v="1"/>
    <x v="1"/>
  </r>
  <r>
    <x v="140"/>
    <n v="2"/>
    <x v="1"/>
  </r>
  <r>
    <x v="141"/>
    <n v="3"/>
    <x v="1"/>
  </r>
  <r>
    <x v="142"/>
    <n v="4"/>
    <x v="1"/>
  </r>
  <r>
    <x v="143"/>
    <n v="5"/>
    <x v="1"/>
  </r>
  <r>
    <x v="144"/>
    <n v="6"/>
    <x v="0"/>
  </r>
  <r>
    <x v="145"/>
    <n v="7"/>
    <x v="0"/>
  </r>
  <r>
    <x v="146"/>
    <n v="1"/>
    <x v="1"/>
  </r>
  <r>
    <x v="147"/>
    <n v="2"/>
    <x v="1"/>
  </r>
  <r>
    <x v="148"/>
    <n v="3"/>
    <x v="1"/>
  </r>
  <r>
    <x v="149"/>
    <n v="4"/>
    <x v="1"/>
  </r>
  <r>
    <x v="150"/>
    <n v="5"/>
    <x v="1"/>
  </r>
  <r>
    <x v="151"/>
    <n v="6"/>
    <x v="0"/>
  </r>
  <r>
    <x v="152"/>
    <n v="7"/>
    <x v="0"/>
  </r>
  <r>
    <x v="153"/>
    <n v="1"/>
    <x v="1"/>
  </r>
  <r>
    <x v="154"/>
    <n v="2"/>
    <x v="1"/>
  </r>
  <r>
    <x v="155"/>
    <n v="3"/>
    <x v="1"/>
  </r>
  <r>
    <x v="156"/>
    <n v="4"/>
    <x v="1"/>
  </r>
  <r>
    <x v="157"/>
    <n v="5"/>
    <x v="1"/>
  </r>
  <r>
    <x v="158"/>
    <n v="6"/>
    <x v="0"/>
  </r>
  <r>
    <x v="159"/>
    <n v="7"/>
    <x v="0"/>
  </r>
  <r>
    <x v="160"/>
    <n v="1"/>
    <x v="0"/>
  </r>
  <r>
    <x v="161"/>
    <n v="2"/>
    <x v="1"/>
  </r>
  <r>
    <x v="162"/>
    <n v="3"/>
    <x v="1"/>
  </r>
  <r>
    <x v="163"/>
    <n v="4"/>
    <x v="1"/>
  </r>
  <r>
    <x v="164"/>
    <n v="5"/>
    <x v="1"/>
  </r>
  <r>
    <x v="165"/>
    <n v="6"/>
    <x v="0"/>
  </r>
  <r>
    <x v="166"/>
    <n v="7"/>
    <x v="0"/>
  </r>
  <r>
    <x v="167"/>
    <n v="1"/>
    <x v="1"/>
  </r>
  <r>
    <x v="168"/>
    <n v="2"/>
    <x v="1"/>
  </r>
  <r>
    <x v="169"/>
    <n v="3"/>
    <x v="1"/>
  </r>
  <r>
    <x v="170"/>
    <n v="4"/>
    <x v="1"/>
  </r>
  <r>
    <x v="171"/>
    <n v="5"/>
    <x v="1"/>
  </r>
  <r>
    <x v="172"/>
    <n v="6"/>
    <x v="0"/>
  </r>
  <r>
    <x v="173"/>
    <n v="7"/>
    <x v="0"/>
  </r>
  <r>
    <x v="174"/>
    <n v="1"/>
    <x v="0"/>
  </r>
  <r>
    <x v="175"/>
    <n v="2"/>
    <x v="1"/>
  </r>
  <r>
    <x v="176"/>
    <n v="3"/>
    <x v="1"/>
  </r>
  <r>
    <x v="177"/>
    <n v="4"/>
    <x v="1"/>
  </r>
  <r>
    <x v="178"/>
    <n v="5"/>
    <x v="1"/>
  </r>
  <r>
    <x v="179"/>
    <n v="6"/>
    <x v="0"/>
  </r>
  <r>
    <x v="180"/>
    <n v="7"/>
    <x v="0"/>
  </r>
  <r>
    <x v="181"/>
    <n v="1"/>
    <x v="1"/>
  </r>
  <r>
    <x v="182"/>
    <n v="2"/>
    <x v="1"/>
  </r>
  <r>
    <x v="183"/>
    <n v="3"/>
    <x v="1"/>
  </r>
  <r>
    <x v="184"/>
    <n v="4"/>
    <x v="1"/>
  </r>
  <r>
    <x v="185"/>
    <n v="5"/>
    <x v="1"/>
  </r>
  <r>
    <x v="186"/>
    <n v="6"/>
    <x v="0"/>
  </r>
  <r>
    <x v="187"/>
    <n v="7"/>
    <x v="0"/>
  </r>
  <r>
    <x v="188"/>
    <n v="1"/>
    <x v="1"/>
  </r>
  <r>
    <x v="189"/>
    <n v="2"/>
    <x v="1"/>
  </r>
  <r>
    <x v="190"/>
    <n v="3"/>
    <x v="1"/>
  </r>
  <r>
    <x v="191"/>
    <n v="4"/>
    <x v="1"/>
  </r>
  <r>
    <x v="192"/>
    <n v="5"/>
    <x v="1"/>
  </r>
  <r>
    <x v="193"/>
    <n v="6"/>
    <x v="0"/>
  </r>
  <r>
    <x v="194"/>
    <n v="7"/>
    <x v="0"/>
  </r>
  <r>
    <x v="195"/>
    <n v="1"/>
    <x v="1"/>
  </r>
  <r>
    <x v="196"/>
    <n v="2"/>
    <x v="1"/>
  </r>
  <r>
    <x v="197"/>
    <n v="3"/>
    <x v="1"/>
  </r>
  <r>
    <x v="198"/>
    <n v="4"/>
    <x v="1"/>
  </r>
  <r>
    <x v="199"/>
    <n v="5"/>
    <x v="1"/>
  </r>
  <r>
    <x v="200"/>
    <n v="6"/>
    <x v="0"/>
  </r>
  <r>
    <x v="201"/>
    <n v="7"/>
    <x v="0"/>
  </r>
  <r>
    <x v="202"/>
    <n v="1"/>
    <x v="1"/>
  </r>
  <r>
    <x v="203"/>
    <n v="2"/>
    <x v="1"/>
  </r>
  <r>
    <x v="204"/>
    <n v="3"/>
    <x v="1"/>
  </r>
  <r>
    <x v="205"/>
    <n v="4"/>
    <x v="1"/>
  </r>
  <r>
    <x v="206"/>
    <n v="5"/>
    <x v="1"/>
  </r>
  <r>
    <x v="207"/>
    <n v="6"/>
    <x v="0"/>
  </r>
  <r>
    <x v="208"/>
    <n v="7"/>
    <x v="0"/>
  </r>
  <r>
    <x v="209"/>
    <n v="1"/>
    <x v="1"/>
  </r>
  <r>
    <x v="210"/>
    <n v="2"/>
    <x v="1"/>
  </r>
  <r>
    <x v="211"/>
    <n v="3"/>
    <x v="1"/>
  </r>
  <r>
    <x v="212"/>
    <n v="4"/>
    <x v="1"/>
  </r>
  <r>
    <x v="213"/>
    <n v="5"/>
    <x v="1"/>
  </r>
  <r>
    <x v="214"/>
    <n v="6"/>
    <x v="0"/>
  </r>
  <r>
    <x v="215"/>
    <n v="7"/>
    <x v="0"/>
  </r>
  <r>
    <x v="216"/>
    <n v="1"/>
    <x v="1"/>
  </r>
  <r>
    <x v="217"/>
    <n v="2"/>
    <x v="1"/>
  </r>
  <r>
    <x v="218"/>
    <n v="3"/>
    <x v="1"/>
  </r>
  <r>
    <x v="219"/>
    <n v="4"/>
    <x v="1"/>
  </r>
  <r>
    <x v="220"/>
    <n v="5"/>
    <x v="1"/>
  </r>
  <r>
    <x v="221"/>
    <n v="6"/>
    <x v="0"/>
  </r>
  <r>
    <x v="222"/>
    <n v="7"/>
    <x v="0"/>
  </r>
  <r>
    <x v="223"/>
    <n v="1"/>
    <x v="1"/>
  </r>
  <r>
    <x v="224"/>
    <n v="2"/>
    <x v="1"/>
  </r>
  <r>
    <x v="225"/>
    <n v="3"/>
    <x v="1"/>
  </r>
  <r>
    <x v="226"/>
    <n v="4"/>
    <x v="0"/>
  </r>
  <r>
    <x v="227"/>
    <n v="5"/>
    <x v="1"/>
  </r>
  <r>
    <x v="228"/>
    <n v="6"/>
    <x v="0"/>
  </r>
  <r>
    <x v="229"/>
    <n v="7"/>
    <x v="0"/>
  </r>
  <r>
    <x v="230"/>
    <n v="1"/>
    <x v="1"/>
  </r>
  <r>
    <x v="231"/>
    <n v="2"/>
    <x v="1"/>
  </r>
  <r>
    <x v="232"/>
    <n v="3"/>
    <x v="1"/>
  </r>
  <r>
    <x v="233"/>
    <n v="4"/>
    <x v="1"/>
  </r>
  <r>
    <x v="234"/>
    <n v="5"/>
    <x v="1"/>
  </r>
  <r>
    <x v="235"/>
    <n v="6"/>
    <x v="0"/>
  </r>
  <r>
    <x v="236"/>
    <n v="7"/>
    <x v="0"/>
  </r>
  <r>
    <x v="237"/>
    <n v="1"/>
    <x v="1"/>
  </r>
  <r>
    <x v="238"/>
    <n v="2"/>
    <x v="1"/>
  </r>
  <r>
    <x v="239"/>
    <n v="3"/>
    <x v="1"/>
  </r>
  <r>
    <x v="240"/>
    <n v="4"/>
    <x v="1"/>
  </r>
  <r>
    <x v="241"/>
    <n v="5"/>
    <x v="1"/>
  </r>
  <r>
    <x v="242"/>
    <n v="6"/>
    <x v="0"/>
  </r>
  <r>
    <x v="243"/>
    <n v="7"/>
    <x v="0"/>
  </r>
  <r>
    <x v="244"/>
    <n v="1"/>
    <x v="1"/>
  </r>
  <r>
    <x v="245"/>
    <n v="2"/>
    <x v="1"/>
  </r>
  <r>
    <x v="246"/>
    <n v="3"/>
    <x v="1"/>
  </r>
  <r>
    <x v="247"/>
    <n v="4"/>
    <x v="1"/>
  </r>
  <r>
    <x v="248"/>
    <n v="5"/>
    <x v="1"/>
  </r>
  <r>
    <x v="249"/>
    <n v="6"/>
    <x v="0"/>
  </r>
  <r>
    <x v="250"/>
    <n v="7"/>
    <x v="0"/>
  </r>
  <r>
    <x v="251"/>
    <n v="1"/>
    <x v="1"/>
  </r>
  <r>
    <x v="252"/>
    <n v="2"/>
    <x v="1"/>
  </r>
  <r>
    <x v="253"/>
    <n v="3"/>
    <x v="0"/>
  </r>
  <r>
    <x v="254"/>
    <n v="4"/>
    <x v="1"/>
  </r>
  <r>
    <x v="255"/>
    <n v="5"/>
    <x v="1"/>
  </r>
  <r>
    <x v="256"/>
    <n v="6"/>
    <x v="0"/>
  </r>
  <r>
    <x v="257"/>
    <n v="7"/>
    <x v="0"/>
  </r>
  <r>
    <x v="258"/>
    <n v="1"/>
    <x v="1"/>
  </r>
  <r>
    <x v="259"/>
    <n v="2"/>
    <x v="1"/>
  </r>
  <r>
    <x v="260"/>
    <n v="3"/>
    <x v="1"/>
  </r>
  <r>
    <x v="261"/>
    <n v="4"/>
    <x v="1"/>
  </r>
  <r>
    <x v="262"/>
    <n v="5"/>
    <x v="1"/>
  </r>
  <r>
    <x v="263"/>
    <n v="6"/>
    <x v="0"/>
  </r>
  <r>
    <x v="264"/>
    <n v="7"/>
    <x v="0"/>
  </r>
  <r>
    <x v="265"/>
    <n v="1"/>
    <x v="1"/>
  </r>
  <r>
    <x v="266"/>
    <n v="2"/>
    <x v="0"/>
  </r>
  <r>
    <x v="267"/>
    <n v="3"/>
    <x v="1"/>
  </r>
  <r>
    <x v="268"/>
    <n v="4"/>
    <x v="1"/>
  </r>
  <r>
    <x v="269"/>
    <n v="5"/>
    <x v="1"/>
  </r>
  <r>
    <x v="270"/>
    <n v="6"/>
    <x v="0"/>
  </r>
  <r>
    <x v="271"/>
    <n v="7"/>
    <x v="0"/>
  </r>
  <r>
    <x v="272"/>
    <n v="1"/>
    <x v="1"/>
  </r>
  <r>
    <x v="273"/>
    <n v="2"/>
    <x v="1"/>
  </r>
  <r>
    <x v="274"/>
    <n v="3"/>
    <x v="1"/>
  </r>
  <r>
    <x v="275"/>
    <n v="4"/>
    <x v="1"/>
  </r>
  <r>
    <x v="276"/>
    <n v="5"/>
    <x v="1"/>
  </r>
  <r>
    <x v="277"/>
    <n v="6"/>
    <x v="0"/>
  </r>
  <r>
    <x v="278"/>
    <n v="7"/>
    <x v="0"/>
  </r>
  <r>
    <x v="279"/>
    <n v="1"/>
    <x v="1"/>
  </r>
  <r>
    <x v="280"/>
    <n v="2"/>
    <x v="1"/>
  </r>
  <r>
    <x v="281"/>
    <n v="3"/>
    <x v="1"/>
  </r>
  <r>
    <x v="282"/>
    <n v="4"/>
    <x v="1"/>
  </r>
  <r>
    <x v="283"/>
    <n v="5"/>
    <x v="1"/>
  </r>
  <r>
    <x v="284"/>
    <n v="6"/>
    <x v="0"/>
  </r>
  <r>
    <x v="285"/>
    <n v="7"/>
    <x v="0"/>
  </r>
  <r>
    <x v="286"/>
    <n v="1"/>
    <x v="1"/>
  </r>
  <r>
    <x v="287"/>
    <n v="2"/>
    <x v="1"/>
  </r>
  <r>
    <x v="288"/>
    <n v="3"/>
    <x v="1"/>
  </r>
  <r>
    <x v="289"/>
    <n v="4"/>
    <x v="1"/>
  </r>
  <r>
    <x v="290"/>
    <n v="5"/>
    <x v="1"/>
  </r>
  <r>
    <x v="291"/>
    <n v="6"/>
    <x v="0"/>
  </r>
  <r>
    <x v="292"/>
    <n v="7"/>
    <x v="0"/>
  </r>
  <r>
    <x v="293"/>
    <n v="1"/>
    <x v="1"/>
  </r>
  <r>
    <x v="294"/>
    <n v="2"/>
    <x v="1"/>
  </r>
  <r>
    <x v="295"/>
    <n v="3"/>
    <x v="1"/>
  </r>
  <r>
    <x v="296"/>
    <n v="4"/>
    <x v="1"/>
  </r>
  <r>
    <x v="297"/>
    <n v="5"/>
    <x v="1"/>
  </r>
  <r>
    <x v="298"/>
    <n v="6"/>
    <x v="0"/>
  </r>
  <r>
    <x v="299"/>
    <n v="7"/>
    <x v="0"/>
  </r>
  <r>
    <x v="300"/>
    <n v="1"/>
    <x v="1"/>
  </r>
  <r>
    <x v="301"/>
    <n v="2"/>
    <x v="1"/>
  </r>
  <r>
    <x v="302"/>
    <n v="3"/>
    <x v="1"/>
  </r>
  <r>
    <x v="303"/>
    <n v="4"/>
    <x v="1"/>
  </r>
  <r>
    <x v="304"/>
    <n v="5"/>
    <x v="0"/>
  </r>
  <r>
    <x v="305"/>
    <n v="6"/>
    <x v="0"/>
  </r>
  <r>
    <x v="306"/>
    <n v="7"/>
    <x v="0"/>
  </r>
  <r>
    <x v="307"/>
    <n v="1"/>
    <x v="1"/>
  </r>
  <r>
    <x v="308"/>
    <n v="2"/>
    <x v="1"/>
  </r>
  <r>
    <x v="309"/>
    <n v="3"/>
    <x v="1"/>
  </r>
  <r>
    <x v="310"/>
    <n v="4"/>
    <x v="1"/>
  </r>
  <r>
    <x v="311"/>
    <n v="5"/>
    <x v="1"/>
  </r>
  <r>
    <x v="312"/>
    <n v="6"/>
    <x v="0"/>
  </r>
  <r>
    <x v="313"/>
    <n v="7"/>
    <x v="0"/>
  </r>
  <r>
    <x v="314"/>
    <n v="1"/>
    <x v="1"/>
  </r>
  <r>
    <x v="315"/>
    <n v="2"/>
    <x v="1"/>
  </r>
  <r>
    <x v="316"/>
    <n v="3"/>
    <x v="1"/>
  </r>
  <r>
    <x v="317"/>
    <n v="4"/>
    <x v="1"/>
  </r>
  <r>
    <x v="318"/>
    <n v="5"/>
    <x v="1"/>
  </r>
  <r>
    <x v="319"/>
    <n v="6"/>
    <x v="0"/>
  </r>
  <r>
    <x v="320"/>
    <n v="7"/>
    <x v="0"/>
  </r>
  <r>
    <x v="321"/>
    <n v="1"/>
    <x v="1"/>
  </r>
  <r>
    <x v="322"/>
    <n v="2"/>
    <x v="1"/>
  </r>
  <r>
    <x v="323"/>
    <n v="3"/>
    <x v="1"/>
  </r>
  <r>
    <x v="324"/>
    <n v="4"/>
    <x v="1"/>
  </r>
  <r>
    <x v="325"/>
    <n v="5"/>
    <x v="1"/>
  </r>
  <r>
    <x v="326"/>
    <n v="6"/>
    <x v="0"/>
  </r>
  <r>
    <x v="327"/>
    <n v="7"/>
    <x v="0"/>
  </r>
  <r>
    <x v="328"/>
    <n v="1"/>
    <x v="1"/>
  </r>
  <r>
    <x v="329"/>
    <n v="2"/>
    <x v="1"/>
  </r>
  <r>
    <x v="330"/>
    <n v="3"/>
    <x v="1"/>
  </r>
  <r>
    <x v="331"/>
    <n v="4"/>
    <x v="1"/>
  </r>
  <r>
    <x v="332"/>
    <n v="5"/>
    <x v="1"/>
  </r>
  <r>
    <x v="333"/>
    <n v="6"/>
    <x v="0"/>
  </r>
  <r>
    <x v="334"/>
    <n v="7"/>
    <x v="0"/>
  </r>
  <r>
    <x v="335"/>
    <n v="1"/>
    <x v="1"/>
  </r>
  <r>
    <x v="336"/>
    <n v="2"/>
    <x v="1"/>
  </r>
  <r>
    <x v="337"/>
    <n v="3"/>
    <x v="1"/>
  </r>
  <r>
    <x v="338"/>
    <n v="4"/>
    <x v="1"/>
  </r>
  <r>
    <x v="339"/>
    <n v="5"/>
    <x v="0"/>
  </r>
  <r>
    <x v="340"/>
    <n v="6"/>
    <x v="0"/>
  </r>
  <r>
    <x v="341"/>
    <n v="7"/>
    <x v="0"/>
  </r>
  <r>
    <x v="342"/>
    <n v="1"/>
    <x v="1"/>
  </r>
  <r>
    <x v="343"/>
    <n v="2"/>
    <x v="1"/>
  </r>
  <r>
    <x v="344"/>
    <n v="3"/>
    <x v="1"/>
  </r>
  <r>
    <x v="345"/>
    <n v="4"/>
    <x v="1"/>
  </r>
  <r>
    <x v="346"/>
    <n v="5"/>
    <x v="1"/>
  </r>
  <r>
    <x v="347"/>
    <n v="6"/>
    <x v="0"/>
  </r>
  <r>
    <x v="348"/>
    <n v="7"/>
    <x v="0"/>
  </r>
  <r>
    <x v="349"/>
    <n v="1"/>
    <x v="1"/>
  </r>
  <r>
    <x v="350"/>
    <n v="2"/>
    <x v="1"/>
  </r>
  <r>
    <x v="351"/>
    <n v="3"/>
    <x v="1"/>
  </r>
  <r>
    <x v="352"/>
    <n v="4"/>
    <x v="1"/>
  </r>
  <r>
    <x v="353"/>
    <n v="5"/>
    <x v="1"/>
  </r>
  <r>
    <x v="354"/>
    <n v="6"/>
    <x v="0"/>
  </r>
  <r>
    <x v="355"/>
    <n v="7"/>
    <x v="0"/>
  </r>
  <r>
    <x v="356"/>
    <n v="1"/>
    <x v="1"/>
  </r>
  <r>
    <x v="357"/>
    <n v="2"/>
    <x v="1"/>
  </r>
  <r>
    <x v="358"/>
    <n v="3"/>
    <x v="0"/>
  </r>
  <r>
    <x v="359"/>
    <n v="4"/>
    <x v="0"/>
  </r>
  <r>
    <x v="360"/>
    <n v="5"/>
    <x v="1"/>
  </r>
  <r>
    <x v="361"/>
    <n v="6"/>
    <x v="0"/>
  </r>
  <r>
    <x v="362"/>
    <n v="7"/>
    <x v="0"/>
  </r>
  <r>
    <x v="363"/>
    <n v="1"/>
    <x v="1"/>
  </r>
  <r>
    <x v="364"/>
    <n v="2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2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rowHeaderCaption="-" colHeaderCaption="Mes">
  <location ref="V22:AI26" firstHeaderRow="1" firstDataRow="2" firstDataCol="1"/>
  <pivotFields count="3">
    <pivotField axis="axisCol" dataField="1" numFmtId="179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axis="axisRow" showAll="0">
      <items count="3">
        <item x="0"/>
        <item x="1"/>
        <item t="default"/>
      </items>
    </pivotField>
  </pivotFields>
  <rowFields count="1">
    <field x="2"/>
  </rowFields>
  <rowItems count="3">
    <i>
      <x/>
    </i>
    <i>
      <x v="1"/>
    </i>
    <i t="grand">
      <x/>
    </i>
  </rowItems>
  <colFields count="1">
    <field x="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Días laborales" fld="0" subtotal="count" baseField="0" baseItem="0"/>
  </dataFields>
  <formats count="1">
    <format dxfId="364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6:N17" totalsRowShown="0" headerRowDxfId="38" dataDxfId="37" tableBorderDxfId="36">
  <autoFilter ref="A6:N17" xr:uid="{00000000-0009-0000-0100-000001000000}"/>
  <tableColumns count="14">
    <tableColumn id="1" xr3:uid="{00000000-0010-0000-0000-000001000000}" name="Canales (On line/Off line" dataDxfId="35"/>
    <tableColumn id="2" xr3:uid="{00000000-0010-0000-0000-000002000000}" name="Acciones" dataDxfId="34"/>
    <tableColumn id="3" xr3:uid="{00000000-0010-0000-0000-000003000000}" name="Inversion MKT" dataDxfId="33"/>
    <tableColumn id="4" xr3:uid="{00000000-0010-0000-0000-000004000000}" name="Coste adicional" dataDxfId="32"/>
    <tableColumn id="5" xr3:uid="{00000000-0010-0000-0000-000005000000}" name="Coste adicional2" dataDxfId="31"/>
    <tableColumn id="6" xr3:uid="{00000000-0010-0000-0000-000006000000}" name="Inversion Total" dataDxfId="30"/>
    <tableColumn id="7" xr3:uid="{00000000-0010-0000-0000-000007000000}" name="CPC" dataDxfId="29"/>
    <tableColumn id="8" xr3:uid="{00000000-0010-0000-0000-000008000000}" name="Visitas o impacto" dataDxfId="28">
      <calculatedColumnFormula>Tabla1[#Headers]=+C7/G7</calculatedColumnFormula>
    </tableColumn>
    <tableColumn id="9" xr3:uid="{00000000-0010-0000-0000-000009000000}" name="Conversión descarga" dataDxfId="27"/>
    <tableColumn id="10" xr3:uid="{00000000-0010-0000-0000-00000A000000}" name="Conv. cliente activo" dataDxfId="26"/>
    <tableColumn id="11" xr3:uid="{00000000-0010-0000-0000-00000B000000}" name="Clientes" dataDxfId="25"/>
    <tableColumn id="12" xr3:uid="{00000000-0010-0000-0000-00000C000000}" name="Ventas (anual)" dataDxfId="24"/>
    <tableColumn id="13" xr3:uid="{00000000-0010-0000-0000-00000D000000}" name="CAC" dataDxfId="23"/>
    <tableColumn id="14" xr3:uid="{00000000-0010-0000-0000-00000E000000}" name="LTV" dataDxfId="22">
      <calculatedColumnFormula>+$E$2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entrebase.centredempresesprocornella.cat:220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8">
    <tabColor theme="1"/>
  </sheetPr>
  <dimension ref="A1:O41"/>
  <sheetViews>
    <sheetView showGridLines="0" showRowColHeaders="0" tabSelected="1" zoomScaleNormal="100" workbookViewId="0"/>
  </sheetViews>
  <sheetFormatPr baseColWidth="10" defaultColWidth="11.42578125" defaultRowHeight="15" outlineLevelRow="1"/>
  <cols>
    <col min="1" max="1" width="12.28515625" style="5" customWidth="1"/>
    <col min="2" max="2" width="19" style="5" customWidth="1"/>
    <col min="3" max="3" width="2.140625" style="5" customWidth="1"/>
    <col min="4" max="4" width="21.5703125" style="5" customWidth="1"/>
    <col min="5" max="5" width="2.7109375" style="5" customWidth="1"/>
    <col min="6" max="6" width="16.85546875" style="5" customWidth="1"/>
    <col min="7" max="7" width="17.140625" style="5" customWidth="1"/>
    <col min="8" max="8" width="3.42578125" style="5" customWidth="1"/>
    <col min="9" max="9" width="8.85546875" style="5" bestFit="1" customWidth="1"/>
    <col min="10" max="10" width="1.28515625" style="5" customWidth="1"/>
    <col min="11" max="11" width="6" style="5" customWidth="1"/>
    <col min="12" max="12" width="3.5703125" style="5" customWidth="1"/>
    <col min="13" max="13" width="14" style="5" customWidth="1"/>
    <col min="14" max="14" width="11.85546875" style="5" bestFit="1" customWidth="1"/>
    <col min="15" max="16384" width="11.42578125" style="5"/>
  </cols>
  <sheetData>
    <row r="1" spans="1:15" ht="15.75" customHeight="1"/>
    <row r="2" spans="1:15" ht="53.25" customHeight="1" thickBot="1">
      <c r="A2" s="531" t="s">
        <v>516</v>
      </c>
      <c r="B2" s="613" t="s">
        <v>570</v>
      </c>
      <c r="D2" s="614" t="s">
        <v>1015</v>
      </c>
      <c r="E2" s="611"/>
      <c r="F2" s="1152" t="s">
        <v>1275</v>
      </c>
      <c r="G2" s="1152"/>
      <c r="H2" s="610"/>
      <c r="I2" s="1160" t="s">
        <v>1018</v>
      </c>
      <c r="J2" s="1160"/>
      <c r="K2" s="1160"/>
      <c r="L2" s="1145"/>
      <c r="M2" s="1145"/>
    </row>
    <row r="3" spans="1:15" s="104" customFormat="1" ht="33" customHeight="1" thickBot="1">
      <c r="A3" s="598">
        <v>1</v>
      </c>
      <c r="B3" s="5"/>
      <c r="C3" s="191"/>
      <c r="F3" s="226" t="s">
        <v>242</v>
      </c>
      <c r="G3" s="225">
        <f>+Resultados!C4</f>
        <v>0</v>
      </c>
      <c r="I3" s="1154" t="s">
        <v>625</v>
      </c>
      <c r="J3" s="1155"/>
      <c r="K3" s="1156"/>
    </row>
    <row r="4" spans="1:15" ht="7.5" customHeight="1" thickBot="1">
      <c r="A4" s="599"/>
      <c r="F4" s="440"/>
      <c r="I4" s="612"/>
      <c r="J4" s="612"/>
      <c r="K4" s="612"/>
    </row>
    <row r="5" spans="1:15" ht="33" customHeight="1" thickBot="1">
      <c r="A5" s="598">
        <v>2</v>
      </c>
      <c r="F5" s="226" t="s">
        <v>454</v>
      </c>
      <c r="G5" s="225">
        <f ca="1">+Resultados!$C$25</f>
        <v>0</v>
      </c>
      <c r="I5" s="1157" t="s">
        <v>1254</v>
      </c>
      <c r="J5" s="1158"/>
      <c r="K5" s="1159"/>
    </row>
    <row r="6" spans="1:15" ht="8.25" customHeight="1" thickBot="1">
      <c r="A6" s="599"/>
      <c r="F6" s="440"/>
      <c r="I6" s="612"/>
      <c r="J6" s="612"/>
      <c r="K6" s="612"/>
    </row>
    <row r="7" spans="1:15" ht="33" customHeight="1" thickBot="1">
      <c r="A7" s="598">
        <v>3</v>
      </c>
      <c r="F7" s="226" t="s">
        <v>244</v>
      </c>
      <c r="G7" s="227" t="str">
        <f>+'Resultado x Actividad'!$S$15</f>
        <v/>
      </c>
      <c r="I7" s="1154" t="s">
        <v>1253</v>
      </c>
      <c r="J7" s="1155"/>
      <c r="K7" s="1156"/>
      <c r="L7" s="1102"/>
      <c r="M7" s="1102"/>
      <c r="N7" s="1103"/>
    </row>
    <row r="8" spans="1:15" ht="8.25" customHeight="1" thickBot="1">
      <c r="A8" s="599"/>
      <c r="F8" s="440"/>
      <c r="I8" s="1102"/>
      <c r="J8" s="1102"/>
      <c r="K8" s="1102"/>
      <c r="L8" s="1102"/>
      <c r="M8" s="1102"/>
      <c r="N8" s="1103"/>
    </row>
    <row r="9" spans="1:15" ht="30.75" customHeight="1" thickBot="1">
      <c r="A9" s="598">
        <v>4</v>
      </c>
      <c r="F9" s="226" t="s">
        <v>245</v>
      </c>
      <c r="G9" s="225">
        <f ca="1">IF(ISERROR(+Resultados!$C$27),0,(+Resultados!$C$27))</f>
        <v>0</v>
      </c>
      <c r="I9" s="1154" t="s">
        <v>1270</v>
      </c>
      <c r="J9" s="1155"/>
      <c r="K9" s="1156"/>
      <c r="L9" s="1102"/>
      <c r="M9" s="1102"/>
      <c r="N9" s="1148"/>
    </row>
    <row r="10" spans="1:15" ht="6.75" customHeight="1" thickBot="1">
      <c r="A10" s="599"/>
      <c r="F10" s="440"/>
      <c r="H10" s="1103"/>
      <c r="I10" s="1102"/>
      <c r="J10" s="1102"/>
      <c r="K10" s="1102"/>
      <c r="L10" s="1102"/>
      <c r="M10" s="1102"/>
      <c r="N10" s="1103"/>
      <c r="O10" s="1103"/>
    </row>
    <row r="11" spans="1:15" ht="33" customHeight="1" thickBot="1">
      <c r="A11" s="598">
        <v>5</v>
      </c>
      <c r="F11" s="228" t="s">
        <v>442</v>
      </c>
      <c r="G11" s="225">
        <f ca="1">MIN('Tesorería mensual'!$C$47:$N$47)</f>
        <v>0</v>
      </c>
      <c r="N11" s="5" t="s">
        <v>46</v>
      </c>
    </row>
    <row r="12" spans="1:15" ht="8.25" customHeight="1" thickBot="1">
      <c r="A12" s="599"/>
    </row>
    <row r="13" spans="1:15" ht="33" customHeight="1" thickBot="1">
      <c r="A13" s="598">
        <v>6</v>
      </c>
      <c r="F13" s="228" t="s">
        <v>515</v>
      </c>
      <c r="G13" s="529" t="str">
        <f ca="1">IF(N40=0,"Ok","Revisar")</f>
        <v>Ok</v>
      </c>
    </row>
    <row r="14" spans="1:15" ht="8.25" customHeight="1"/>
    <row r="15" spans="1:15" ht="10.5" customHeight="1">
      <c r="A15" s="1151"/>
      <c r="F15" s="1161" t="s">
        <v>1271</v>
      </c>
      <c r="G15" s="1161"/>
    </row>
    <row r="16" spans="1:15" ht="19.5" customHeight="1">
      <c r="A16" s="1151"/>
      <c r="F16" s="1161"/>
      <c r="G16" s="1161"/>
    </row>
    <row r="17" spans="6:13" ht="13.5" customHeight="1">
      <c r="F17" s="1161"/>
      <c r="G17" s="1161"/>
      <c r="H17" s="1146"/>
      <c r="I17" s="1146"/>
      <c r="J17" s="1146"/>
      <c r="K17" s="1146"/>
      <c r="L17" s="1146"/>
    </row>
    <row r="18" spans="6:13">
      <c r="G18" s="1146"/>
      <c r="H18" s="1146"/>
      <c r="I18" s="1146"/>
      <c r="J18" s="1146"/>
      <c r="K18" s="1146"/>
      <c r="L18" s="1146"/>
    </row>
    <row r="19" spans="6:13">
      <c r="G19" s="615"/>
      <c r="H19" s="615"/>
      <c r="I19" s="615"/>
      <c r="J19" s="615"/>
      <c r="K19" s="615"/>
      <c r="L19" s="615"/>
    </row>
    <row r="20" spans="6:13">
      <c r="G20" s="615"/>
      <c r="H20" s="615"/>
      <c r="I20" s="615"/>
      <c r="J20" s="615"/>
      <c r="K20" s="615"/>
      <c r="L20" s="615"/>
    </row>
    <row r="21" spans="6:13">
      <c r="G21" s="615"/>
      <c r="H21" s="615"/>
      <c r="I21" s="615"/>
      <c r="J21" s="615"/>
      <c r="K21" s="615"/>
      <c r="L21" s="615"/>
    </row>
    <row r="22" spans="6:13" ht="38.25" hidden="1" customHeight="1" outlineLevel="1">
      <c r="H22" s="1153" t="s">
        <v>348</v>
      </c>
      <c r="I22" s="1153"/>
      <c r="J22" s="1153"/>
      <c r="K22" s="1153"/>
      <c r="L22" s="1153"/>
      <c r="M22" s="1153"/>
    </row>
    <row r="23" spans="6:13" ht="18.75" hidden="1" outlineLevel="1">
      <c r="G23" s="262" t="str">
        <f ca="1">IF(ROUND((G25+G38+G40),2)=0,"Ok","Revisar")</f>
        <v>Ok</v>
      </c>
      <c r="I23" s="231" t="str">
        <f ca="1">IF(ROUND((I25+I38+I40),2)=0,"Ok","Revisar")</f>
        <v>Ok</v>
      </c>
      <c r="J23" s="262" t="str">
        <f ca="1">IF(ROUND((J25+J38+J40),2)=0,"Ok","Revisar")</f>
        <v>Ok</v>
      </c>
      <c r="L23" s="262" t="str">
        <f ca="1">IF(ROUND((L25+L38+L40),2)=0,"Ok","Revisar")</f>
        <v>Ok</v>
      </c>
      <c r="M23" s="262" t="str">
        <f ca="1">IF(ROUND((M25+M38+M40),2)=0,"Ok","Revisar")</f>
        <v>Ok</v>
      </c>
    </row>
    <row r="24" spans="6:13" ht="15.75" hidden="1" outlineLevel="1">
      <c r="F24" s="14"/>
      <c r="G24" s="230" t="s">
        <v>121</v>
      </c>
      <c r="I24" s="230" t="s">
        <v>122</v>
      </c>
      <c r="J24" s="230" t="s">
        <v>123</v>
      </c>
      <c r="L24" s="263" t="s">
        <v>371</v>
      </c>
      <c r="M24" s="263" t="s">
        <v>372</v>
      </c>
    </row>
    <row r="25" spans="6:13" hidden="1" outlineLevel="1">
      <c r="F25" s="441" t="s">
        <v>358</v>
      </c>
      <c r="G25" s="442">
        <f ca="1">+Balance!D52</f>
        <v>0</v>
      </c>
      <c r="I25" s="442">
        <f ca="1">+Balance!F52</f>
        <v>0</v>
      </c>
      <c r="J25" s="442">
        <f ca="1">+Balance!H52</f>
        <v>0</v>
      </c>
      <c r="K25" s="441"/>
      <c r="L25" s="442">
        <f ca="1">ROUND(+'Resumen nuevo proyecto'!D76+'Resumen nuevo proyecto'!E76+'Resumen nuevo proyecto'!F76+'Resumen nuevo proyecto'!G76-'Resumen nuevo proyecto'!D91-'Resumen nuevo proyecto'!E91-'Resumen nuevo proyecto'!F91-'Resumen nuevo proyecto'!G91,0)</f>
        <v>0</v>
      </c>
      <c r="M25" s="442">
        <f ca="1">ROUND(+'Plan Empresa'!C213+'Plan Empresa'!E213+'Plan Empresa'!G213+'Plan Empresa'!I213-'Plan Empresa'!C229-'Plan Empresa'!E229-'Plan Empresa'!G229-'Plan Empresa'!I229,0)</f>
        <v>0</v>
      </c>
    </row>
    <row r="26" spans="6:13" hidden="1" outlineLevel="1">
      <c r="G26" s="441"/>
      <c r="H26" s="441"/>
      <c r="I26" s="441"/>
      <c r="J26" s="441"/>
      <c r="K26" s="441"/>
      <c r="L26" s="441"/>
      <c r="M26" s="441"/>
    </row>
    <row r="27" spans="6:13" hidden="1" outlineLevel="1">
      <c r="F27" s="441" t="s">
        <v>344</v>
      </c>
      <c r="G27" s="443">
        <f ca="1">+Balance!D38</f>
        <v>0</v>
      </c>
      <c r="I27" s="443">
        <f ca="1">+Balance!F38</f>
        <v>0</v>
      </c>
      <c r="J27" s="443">
        <f ca="1">+Balance!H38</f>
        <v>0</v>
      </c>
      <c r="K27" s="441"/>
      <c r="L27" s="443">
        <f ca="1">+'Resumen nuevo proyecto'!D83+'Resumen nuevo proyecto'!E83+'Resumen nuevo proyecto'!F83+'Resumen nuevo proyecto'!G83</f>
        <v>0</v>
      </c>
      <c r="M27" s="443">
        <f ca="1">+'Plan Empresa'!C221+'Plan Empresa'!E221+'Plan Empresa'!G221+'Plan Empresa'!I221</f>
        <v>0</v>
      </c>
    </row>
    <row r="28" spans="6:13" hidden="1" outlineLevel="1">
      <c r="F28" s="441"/>
      <c r="G28" s="441"/>
      <c r="I28" s="441"/>
      <c r="J28" s="441"/>
      <c r="K28" s="441"/>
      <c r="L28" s="441"/>
      <c r="M28" s="441"/>
    </row>
    <row r="29" spans="6:13" hidden="1" outlineLevel="1">
      <c r="F29" s="441" t="s">
        <v>347</v>
      </c>
      <c r="G29" s="443">
        <f ca="1">+Balance!D29</f>
        <v>0</v>
      </c>
      <c r="I29" s="443">
        <f ca="1">+Balance!F29</f>
        <v>0</v>
      </c>
      <c r="J29" s="443">
        <f ca="1">+Balance!H29</f>
        <v>0</v>
      </c>
      <c r="K29" s="441"/>
      <c r="L29" s="443">
        <f ca="1">+'Resumen nuevo proyecto'!G75</f>
        <v>0</v>
      </c>
      <c r="M29" s="443">
        <f ca="1">+'Plan Empresa'!E212</f>
        <v>0</v>
      </c>
    </row>
    <row r="30" spans="6:13" hidden="1" outlineLevel="1">
      <c r="F30" s="441"/>
      <c r="G30" s="441"/>
      <c r="I30" s="441"/>
      <c r="J30" s="441"/>
      <c r="K30" s="441"/>
      <c r="L30" s="441"/>
      <c r="M30" s="441"/>
    </row>
    <row r="31" spans="6:13" hidden="1" outlineLevel="1">
      <c r="F31" s="441"/>
      <c r="G31" s="441"/>
      <c r="I31" s="441"/>
      <c r="J31" s="441"/>
      <c r="K31" s="441"/>
      <c r="L31" s="441"/>
      <c r="M31" s="441"/>
    </row>
    <row r="32" spans="6:13" hidden="1" outlineLevel="1">
      <c r="F32" s="441"/>
      <c r="G32" s="441"/>
      <c r="I32" s="441"/>
      <c r="J32" s="441"/>
      <c r="K32" s="441"/>
      <c r="L32" s="441"/>
      <c r="M32" s="441"/>
    </row>
    <row r="33" spans="6:14" hidden="1" outlineLevel="1">
      <c r="F33" s="441" t="s">
        <v>342</v>
      </c>
      <c r="G33" s="443">
        <f ca="1">+Resultados!C25</f>
        <v>0</v>
      </c>
      <c r="I33" s="443">
        <f ca="1">+Resultados!E25</f>
        <v>0</v>
      </c>
      <c r="J33" s="443">
        <f ca="1">+Resultados!G25</f>
        <v>0</v>
      </c>
      <c r="K33" s="441"/>
      <c r="L33" s="443">
        <f ca="1">+'Resumen nuevo proyecto'!E62+'Resumen nuevo proyecto'!G62+'Resumen nuevo proyecto'!I62</f>
        <v>0</v>
      </c>
      <c r="M33" s="443">
        <f ca="1">+'Plan Empresa'!C335+'Plan Empresa'!E335+'Plan Empresa'!G335</f>
        <v>0</v>
      </c>
    </row>
    <row r="34" spans="6:14" hidden="1" outlineLevel="1">
      <c r="F34" s="441"/>
      <c r="G34" s="441"/>
      <c r="I34" s="441"/>
      <c r="J34" s="441"/>
      <c r="K34" s="441"/>
      <c r="L34" s="441"/>
      <c r="M34" s="441"/>
    </row>
    <row r="35" spans="6:14" hidden="1" outlineLevel="1">
      <c r="F35" s="441" t="s">
        <v>343</v>
      </c>
      <c r="G35" s="443">
        <f ca="1">SUM('Resultados mensuales '!C39:N39)</f>
        <v>0</v>
      </c>
      <c r="I35" s="443">
        <f ca="1">SUM('Resultados mensuales '!O39:Z39)</f>
        <v>0</v>
      </c>
      <c r="J35" s="443">
        <f ca="1">SUM('Resultados mensuales '!AA39:AL39)</f>
        <v>0</v>
      </c>
      <c r="K35" s="441"/>
      <c r="L35" s="443"/>
      <c r="M35" s="443">
        <f ca="1">SUM('Plan Empresa'!E284:J284,'Plan Empresa'!E304:J304)-'Plan Empresa'!I258</f>
        <v>0</v>
      </c>
    </row>
    <row r="36" spans="6:14" hidden="1" outlineLevel="1">
      <c r="F36" s="441" t="s">
        <v>346</v>
      </c>
      <c r="G36" s="443">
        <f ca="1">+Resultados!C23</f>
        <v>0</v>
      </c>
      <c r="I36" s="443">
        <f ca="1">+Resultados!E23</f>
        <v>0</v>
      </c>
      <c r="J36" s="443">
        <f ca="1">+Resultados!G23</f>
        <v>0</v>
      </c>
      <c r="K36" s="441"/>
      <c r="L36" s="443"/>
      <c r="M36" s="443"/>
    </row>
    <row r="37" spans="6:14" hidden="1" outlineLevel="1">
      <c r="F37" s="441"/>
      <c r="G37" s="443">
        <f ca="1">SUM(G35:G36)</f>
        <v>0</v>
      </c>
      <c r="I37" s="443">
        <f ca="1">SUM(I35:I36)</f>
        <v>0</v>
      </c>
      <c r="J37" s="443">
        <f ca="1">SUM(J35:J36)</f>
        <v>0</v>
      </c>
      <c r="K37" s="441"/>
      <c r="L37" s="443"/>
      <c r="M37" s="443"/>
    </row>
    <row r="38" spans="6:14" hidden="1" outlineLevel="1">
      <c r="F38" s="441"/>
      <c r="G38" s="442">
        <f ca="1">+G35+G36-G37</f>
        <v>0</v>
      </c>
      <c r="I38" s="442">
        <f ca="1">+I35+I36-I37</f>
        <v>0</v>
      </c>
      <c r="J38" s="442">
        <f ca="1">+J35+J36-J37</f>
        <v>0</v>
      </c>
      <c r="K38" s="441"/>
      <c r="L38" s="442"/>
      <c r="M38" s="442"/>
    </row>
    <row r="39" spans="6:14" hidden="1" outlineLevel="1">
      <c r="F39" s="441" t="s">
        <v>345</v>
      </c>
      <c r="G39" s="443">
        <f ca="1">+'Tesorería mensual'!N47</f>
        <v>0</v>
      </c>
      <c r="I39" s="443">
        <f ca="1">+'Tesorería mensual'!Z47</f>
        <v>0</v>
      </c>
      <c r="J39" s="443">
        <f ca="1">+'Tesorería mensual'!AL47</f>
        <v>0</v>
      </c>
      <c r="K39" s="441"/>
      <c r="L39" s="443">
        <f ca="1">+'Resumen nuevo proyecto'!G102</f>
        <v>0</v>
      </c>
      <c r="M39" s="443">
        <f ca="1">+'Plan Empresa'!J403</f>
        <v>0</v>
      </c>
    </row>
    <row r="40" spans="6:14" hidden="1" outlineLevel="1">
      <c r="F40" s="441"/>
      <c r="G40" s="442">
        <f ca="1">+G29-G39</f>
        <v>0</v>
      </c>
      <c r="I40" s="442">
        <f ca="1">+I29-I39</f>
        <v>0</v>
      </c>
      <c r="J40" s="442">
        <f ca="1">+J29-J39</f>
        <v>0</v>
      </c>
      <c r="K40" s="441"/>
      <c r="L40" s="442">
        <f ca="1">+L29-L39</f>
        <v>0</v>
      </c>
      <c r="M40" s="442">
        <f ca="1">+M29-M39</f>
        <v>0</v>
      </c>
      <c r="N40" s="8">
        <f ca="1">ROUND(SUM(G40:M40,G25:M25),0)</f>
        <v>0</v>
      </c>
    </row>
    <row r="41" spans="6:14" collapsed="1"/>
  </sheetData>
  <mergeCells count="9">
    <mergeCell ref="A15:A16"/>
    <mergeCell ref="F2:G2"/>
    <mergeCell ref="H22:M22"/>
    <mergeCell ref="I3:K3"/>
    <mergeCell ref="I5:K5"/>
    <mergeCell ref="I7:K7"/>
    <mergeCell ref="I9:K9"/>
    <mergeCell ref="I2:K2"/>
    <mergeCell ref="F15:G17"/>
  </mergeCells>
  <conditionalFormatting sqref="I23:J23 G23">
    <cfRule type="cellIs" dxfId="559" priority="23" operator="equal">
      <formula>"Revisar"</formula>
    </cfRule>
    <cfRule type="cellIs" dxfId="558" priority="34" operator="equal">
      <formula>"OK"</formula>
    </cfRule>
  </conditionalFormatting>
  <conditionalFormatting sqref="G7">
    <cfRule type="cellIs" dxfId="557" priority="30" operator="greaterThan">
      <formula>0</formula>
    </cfRule>
    <cfRule type="cellIs" dxfId="556" priority="31" operator="lessThan">
      <formula>0</formula>
    </cfRule>
  </conditionalFormatting>
  <conditionalFormatting sqref="G9">
    <cfRule type="cellIs" dxfId="555" priority="10" operator="greaterThan">
      <formula>-0.1</formula>
    </cfRule>
    <cfRule type="cellIs" dxfId="554" priority="24" operator="greaterThan">
      <formula>0</formula>
    </cfRule>
    <cfRule type="cellIs" dxfId="553" priority="25" operator="lessThan">
      <formula>0</formula>
    </cfRule>
  </conditionalFormatting>
  <conditionalFormatting sqref="L23">
    <cfRule type="cellIs" dxfId="552" priority="18" operator="equal">
      <formula>"Revisar"</formula>
    </cfRule>
    <cfRule type="cellIs" dxfId="551" priority="19" operator="equal">
      <formula>"OK"</formula>
    </cfRule>
  </conditionalFormatting>
  <conditionalFormatting sqref="M23">
    <cfRule type="cellIs" dxfId="550" priority="14" operator="equal">
      <formula>"Revisar"</formula>
    </cfRule>
    <cfRule type="cellIs" dxfId="549" priority="15" operator="equal">
      <formula>"OK"</formula>
    </cfRule>
  </conditionalFormatting>
  <conditionalFormatting sqref="G13">
    <cfRule type="cellIs" dxfId="548" priority="12" operator="greaterThan">
      <formula>0</formula>
    </cfRule>
    <cfRule type="cellIs" dxfId="547" priority="13" operator="lessThan">
      <formula>0</formula>
    </cfRule>
  </conditionalFormatting>
  <conditionalFormatting sqref="G11">
    <cfRule type="cellIs" dxfId="546" priority="7" operator="greaterThan">
      <formula>-0.1</formula>
    </cfRule>
    <cfRule type="cellIs" dxfId="545" priority="8" operator="greaterThan">
      <formula>0</formula>
    </cfRule>
    <cfRule type="cellIs" dxfId="544" priority="9" operator="lessThan">
      <formula>0</formula>
    </cfRule>
  </conditionalFormatting>
  <conditionalFormatting sqref="G5">
    <cfRule type="cellIs" dxfId="543" priority="4" operator="greaterThan">
      <formula>-0.1</formula>
    </cfRule>
    <cfRule type="cellIs" dxfId="542" priority="5" operator="greaterThan">
      <formula>0</formula>
    </cfRule>
    <cfRule type="cellIs" dxfId="541" priority="6" operator="lessThan">
      <formula>0</formula>
    </cfRule>
  </conditionalFormatting>
  <conditionalFormatting sqref="G3">
    <cfRule type="cellIs" dxfId="540" priority="1" operator="greaterThan">
      <formula>-0.1</formula>
    </cfRule>
    <cfRule type="cellIs" dxfId="539" priority="2" operator="greaterThan">
      <formula>0</formula>
    </cfRule>
    <cfRule type="cellIs" dxfId="538" priority="3" operator="lessThan">
      <formula>0</formula>
    </cfRule>
  </conditionalFormatting>
  <hyperlinks>
    <hyperlink ref="I3" location="'Plan de Trabajo'!A1" display="Plan de trabajo" xr:uid="{00000000-0004-0000-0000-000000000000}"/>
    <hyperlink ref="I5" location="'Buenas y malas prácticas'!A1" display="Plan de trabajo" xr:uid="{00000000-0004-0000-0000-000001000000}"/>
    <hyperlink ref="I9" location="'Itinerario startups'!A1" display="Sprint Planing" xr:uid="{7A5AE4DF-7C6E-4837-A1EC-C960FDE958B2}"/>
    <hyperlink ref="I7" location="'Buenas y malas prácticas'!A1" display="Plan de trabajo" xr:uid="{C9133CFE-D87E-4CC2-B5DD-8A9B5EC40E14}"/>
    <hyperlink ref="I7:K7" location="Funnel!A1" display="CAC - LTV" xr:uid="{DFD5E1C8-2344-49F0-87DE-88B5FAA66EF1}"/>
    <hyperlink ref="F15:G17" r:id="rId1" display="Para cumplimentar el Plan de Viabilidad solicitar cita previa en nuestra web a través de este enlace" xr:uid="{16E59C64-C2C5-477C-9EDE-02FB892311D1}"/>
  </hyperlinks>
  <pageMargins left="0.7" right="0.7" top="0.75" bottom="0.75" header="0.3" footer="0.3"/>
  <pageSetup paperSize="9" scale="9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4">
    <tabColor rgb="FFFFC000"/>
  </sheetPr>
  <dimension ref="A1:AR172"/>
  <sheetViews>
    <sheetView zoomScaleNormal="100"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AB171" sqref="AB171"/>
    </sheetView>
  </sheetViews>
  <sheetFormatPr baseColWidth="10" defaultColWidth="11.42578125" defaultRowHeight="18.75" outlineLevelRow="1"/>
  <cols>
    <col min="1" max="1" width="38.42578125" style="21" customWidth="1"/>
    <col min="2" max="2" width="13.140625" style="23" customWidth="1"/>
    <col min="3" max="6" width="3.28515625" style="21" hidden="1" customWidth="1"/>
    <col min="7" max="42" width="16.5703125" style="21" bestFit="1" customWidth="1"/>
    <col min="43" max="16384" width="11.42578125" style="21"/>
  </cols>
  <sheetData>
    <row r="1" spans="1:42" ht="37.5">
      <c r="A1" s="18" t="s">
        <v>80</v>
      </c>
      <c r="B1" s="18" t="s">
        <v>81</v>
      </c>
      <c r="G1" s="15">
        <f>+Cuestionario!$C$11</f>
        <v>44197</v>
      </c>
      <c r="H1" s="15">
        <f>EDATE(G1,1)</f>
        <v>44228</v>
      </c>
      <c r="I1" s="15">
        <f t="shared" ref="I1:AP1" si="0">EDATE(H1,1)</f>
        <v>44256</v>
      </c>
      <c r="J1" s="15">
        <f t="shared" si="0"/>
        <v>44287</v>
      </c>
      <c r="K1" s="15">
        <f t="shared" si="0"/>
        <v>44317</v>
      </c>
      <c r="L1" s="15">
        <f t="shared" si="0"/>
        <v>44348</v>
      </c>
      <c r="M1" s="15">
        <f t="shared" si="0"/>
        <v>44378</v>
      </c>
      <c r="N1" s="15">
        <f t="shared" si="0"/>
        <v>44409</v>
      </c>
      <c r="O1" s="15">
        <f t="shared" si="0"/>
        <v>44440</v>
      </c>
      <c r="P1" s="15">
        <f t="shared" si="0"/>
        <v>44470</v>
      </c>
      <c r="Q1" s="15">
        <f t="shared" si="0"/>
        <v>44501</v>
      </c>
      <c r="R1" s="15">
        <f t="shared" si="0"/>
        <v>44531</v>
      </c>
      <c r="S1" s="69">
        <f t="shared" si="0"/>
        <v>44562</v>
      </c>
      <c r="T1" s="69">
        <f t="shared" si="0"/>
        <v>44593</v>
      </c>
      <c r="U1" s="69">
        <f t="shared" si="0"/>
        <v>44621</v>
      </c>
      <c r="V1" s="69">
        <f t="shared" si="0"/>
        <v>44652</v>
      </c>
      <c r="W1" s="69">
        <f t="shared" si="0"/>
        <v>44682</v>
      </c>
      <c r="X1" s="69">
        <f t="shared" si="0"/>
        <v>44713</v>
      </c>
      <c r="Y1" s="69">
        <f t="shared" si="0"/>
        <v>44743</v>
      </c>
      <c r="Z1" s="69">
        <f t="shared" si="0"/>
        <v>44774</v>
      </c>
      <c r="AA1" s="69">
        <f t="shared" si="0"/>
        <v>44805</v>
      </c>
      <c r="AB1" s="69">
        <f t="shared" si="0"/>
        <v>44835</v>
      </c>
      <c r="AC1" s="69">
        <f t="shared" si="0"/>
        <v>44866</v>
      </c>
      <c r="AD1" s="69">
        <f t="shared" si="0"/>
        <v>44896</v>
      </c>
      <c r="AE1" s="15">
        <f t="shared" si="0"/>
        <v>44927</v>
      </c>
      <c r="AF1" s="15">
        <f t="shared" si="0"/>
        <v>44958</v>
      </c>
      <c r="AG1" s="15">
        <f t="shared" si="0"/>
        <v>44986</v>
      </c>
      <c r="AH1" s="15">
        <f t="shared" si="0"/>
        <v>45017</v>
      </c>
      <c r="AI1" s="15">
        <f t="shared" si="0"/>
        <v>45047</v>
      </c>
      <c r="AJ1" s="15">
        <f t="shared" si="0"/>
        <v>45078</v>
      </c>
      <c r="AK1" s="15">
        <f t="shared" si="0"/>
        <v>45108</v>
      </c>
      <c r="AL1" s="15">
        <f t="shared" si="0"/>
        <v>45139</v>
      </c>
      <c r="AM1" s="15">
        <f t="shared" si="0"/>
        <v>45170</v>
      </c>
      <c r="AN1" s="15">
        <f t="shared" si="0"/>
        <v>45200</v>
      </c>
      <c r="AO1" s="15">
        <f t="shared" si="0"/>
        <v>45231</v>
      </c>
      <c r="AP1" s="15">
        <f t="shared" si="0"/>
        <v>45261</v>
      </c>
    </row>
    <row r="2" spans="1:42" hidden="1" outlineLevel="1">
      <c r="A2" s="31">
        <f>+Catálogo!B6</f>
        <v>0</v>
      </c>
      <c r="G2" s="24">
        <f>Ventas!E43</f>
        <v>0</v>
      </c>
      <c r="H2" s="24">
        <f>Ventas!F43</f>
        <v>0</v>
      </c>
      <c r="I2" s="24">
        <f>Ventas!G43</f>
        <v>0</v>
      </c>
      <c r="J2" s="24">
        <f>Ventas!H43</f>
        <v>0</v>
      </c>
      <c r="K2" s="24">
        <f>Ventas!I43</f>
        <v>0</v>
      </c>
      <c r="L2" s="24">
        <f>Ventas!J43</f>
        <v>0</v>
      </c>
      <c r="M2" s="24">
        <f>Ventas!K43</f>
        <v>0</v>
      </c>
      <c r="N2" s="24">
        <f>Ventas!L43</f>
        <v>0</v>
      </c>
      <c r="O2" s="24">
        <f>Ventas!M43</f>
        <v>0</v>
      </c>
      <c r="P2" s="24">
        <f>Ventas!N43</f>
        <v>0</v>
      </c>
      <c r="Q2" s="24">
        <f>Ventas!O43</f>
        <v>0</v>
      </c>
      <c r="R2" s="24">
        <f>Ventas!P43</f>
        <v>0</v>
      </c>
      <c r="S2" s="25">
        <f>Ventas!R43</f>
        <v>0</v>
      </c>
      <c r="T2" s="25">
        <f>Ventas!S43</f>
        <v>0</v>
      </c>
      <c r="U2" s="25">
        <f>Ventas!T43</f>
        <v>0</v>
      </c>
      <c r="V2" s="25">
        <f>Ventas!U43</f>
        <v>0</v>
      </c>
      <c r="W2" s="25">
        <f>Ventas!V43</f>
        <v>0</v>
      </c>
      <c r="X2" s="25">
        <f>Ventas!W43</f>
        <v>0</v>
      </c>
      <c r="Y2" s="25">
        <f>Ventas!X43</f>
        <v>0</v>
      </c>
      <c r="Z2" s="25">
        <f>Ventas!Y43</f>
        <v>0</v>
      </c>
      <c r="AA2" s="25">
        <f>Ventas!Z43</f>
        <v>0</v>
      </c>
      <c r="AB2" s="25">
        <f>Ventas!AA43</f>
        <v>0</v>
      </c>
      <c r="AC2" s="25">
        <f>Ventas!AB43</f>
        <v>0</v>
      </c>
      <c r="AD2" s="25">
        <f>Ventas!AC43</f>
        <v>0</v>
      </c>
      <c r="AE2" s="24">
        <f>Ventas!AE43</f>
        <v>0</v>
      </c>
      <c r="AF2" s="24">
        <f>Ventas!AF43</f>
        <v>0</v>
      </c>
      <c r="AG2" s="24">
        <f>Ventas!AG43</f>
        <v>0</v>
      </c>
      <c r="AH2" s="24">
        <f>Ventas!AH43</f>
        <v>0</v>
      </c>
      <c r="AI2" s="24">
        <f>Ventas!AI43</f>
        <v>0</v>
      </c>
      <c r="AJ2" s="24">
        <f>Ventas!AJ43</f>
        <v>0</v>
      </c>
      <c r="AK2" s="24">
        <f>Ventas!AK43</f>
        <v>0</v>
      </c>
      <c r="AL2" s="24">
        <f>Ventas!AL43</f>
        <v>0</v>
      </c>
      <c r="AM2" s="24">
        <f>Ventas!AM43</f>
        <v>0</v>
      </c>
      <c r="AN2" s="24">
        <f>Ventas!AN43</f>
        <v>0</v>
      </c>
      <c r="AO2" s="24">
        <f>Ventas!AO43</f>
        <v>0</v>
      </c>
      <c r="AP2" s="24">
        <f>Ventas!AP43</f>
        <v>0</v>
      </c>
    </row>
    <row r="3" spans="1:42" hidden="1" outlineLevel="1">
      <c r="A3" s="31">
        <f>+Catálogo!B7</f>
        <v>0</v>
      </c>
      <c r="G3" s="24">
        <f>Ventas!E44</f>
        <v>0</v>
      </c>
      <c r="H3" s="24">
        <f>Ventas!F44</f>
        <v>0</v>
      </c>
      <c r="I3" s="24">
        <f>Ventas!G44</f>
        <v>0</v>
      </c>
      <c r="J3" s="24">
        <f>Ventas!H44</f>
        <v>0</v>
      </c>
      <c r="K3" s="24">
        <f>Ventas!I44</f>
        <v>0</v>
      </c>
      <c r="L3" s="24">
        <f>Ventas!J44</f>
        <v>0</v>
      </c>
      <c r="M3" s="24">
        <f>Ventas!K44</f>
        <v>0</v>
      </c>
      <c r="N3" s="24">
        <f>Ventas!L44</f>
        <v>0</v>
      </c>
      <c r="O3" s="24">
        <f>Ventas!M44</f>
        <v>0</v>
      </c>
      <c r="P3" s="24">
        <f>Ventas!N44</f>
        <v>0</v>
      </c>
      <c r="Q3" s="24">
        <f>Ventas!O44</f>
        <v>0</v>
      </c>
      <c r="R3" s="24">
        <f>Ventas!P44</f>
        <v>0</v>
      </c>
      <c r="S3" s="25">
        <f>Ventas!R44</f>
        <v>0</v>
      </c>
      <c r="T3" s="25">
        <f>Ventas!S44</f>
        <v>0</v>
      </c>
      <c r="U3" s="25">
        <f>Ventas!T44</f>
        <v>0</v>
      </c>
      <c r="V3" s="25">
        <f>Ventas!U44</f>
        <v>0</v>
      </c>
      <c r="W3" s="25">
        <f>Ventas!V44</f>
        <v>0</v>
      </c>
      <c r="X3" s="25">
        <f>Ventas!W44</f>
        <v>0</v>
      </c>
      <c r="Y3" s="25">
        <f>Ventas!X44</f>
        <v>0</v>
      </c>
      <c r="Z3" s="25">
        <f>Ventas!Y44</f>
        <v>0</v>
      </c>
      <c r="AA3" s="25">
        <f>Ventas!Z44</f>
        <v>0</v>
      </c>
      <c r="AB3" s="25">
        <f>Ventas!AA44</f>
        <v>0</v>
      </c>
      <c r="AC3" s="25">
        <f>Ventas!AB44</f>
        <v>0</v>
      </c>
      <c r="AD3" s="25">
        <f>Ventas!AC44</f>
        <v>0</v>
      </c>
      <c r="AE3" s="24">
        <f>Ventas!AE44</f>
        <v>0</v>
      </c>
      <c r="AF3" s="24">
        <f>Ventas!AF44</f>
        <v>0</v>
      </c>
      <c r="AG3" s="24">
        <f>Ventas!AG44</f>
        <v>0</v>
      </c>
      <c r="AH3" s="24">
        <f>Ventas!AH44</f>
        <v>0</v>
      </c>
      <c r="AI3" s="24">
        <f>Ventas!AI44</f>
        <v>0</v>
      </c>
      <c r="AJ3" s="24">
        <f>Ventas!AJ44</f>
        <v>0</v>
      </c>
      <c r="AK3" s="24">
        <f>Ventas!AK44</f>
        <v>0</v>
      </c>
      <c r="AL3" s="24">
        <f>Ventas!AL44</f>
        <v>0</v>
      </c>
      <c r="AM3" s="24">
        <f>Ventas!AM44</f>
        <v>0</v>
      </c>
      <c r="AN3" s="24">
        <f>Ventas!AN44</f>
        <v>0</v>
      </c>
      <c r="AO3" s="24">
        <f>Ventas!AO44</f>
        <v>0</v>
      </c>
      <c r="AP3" s="24">
        <f>Ventas!AP44</f>
        <v>0</v>
      </c>
    </row>
    <row r="4" spans="1:42" hidden="1" outlineLevel="1">
      <c r="A4" s="31">
        <f>+Catálogo!B8</f>
        <v>0</v>
      </c>
      <c r="G4" s="24">
        <f>Ventas!E45</f>
        <v>0</v>
      </c>
      <c r="H4" s="24">
        <f>Ventas!F45</f>
        <v>0</v>
      </c>
      <c r="I4" s="24">
        <f>Ventas!G45</f>
        <v>0</v>
      </c>
      <c r="J4" s="24">
        <f>Ventas!H45</f>
        <v>0</v>
      </c>
      <c r="K4" s="24">
        <f>Ventas!I45</f>
        <v>0</v>
      </c>
      <c r="L4" s="24">
        <f>Ventas!J45</f>
        <v>0</v>
      </c>
      <c r="M4" s="24">
        <f>Ventas!K45</f>
        <v>0</v>
      </c>
      <c r="N4" s="24">
        <f>Ventas!L45</f>
        <v>0</v>
      </c>
      <c r="O4" s="24">
        <f>Ventas!M45</f>
        <v>0</v>
      </c>
      <c r="P4" s="24">
        <f>Ventas!N45</f>
        <v>0</v>
      </c>
      <c r="Q4" s="24">
        <f>Ventas!O45</f>
        <v>0</v>
      </c>
      <c r="R4" s="24">
        <f>Ventas!P45</f>
        <v>0</v>
      </c>
      <c r="S4" s="25">
        <f>Ventas!R45</f>
        <v>0</v>
      </c>
      <c r="T4" s="25">
        <f>Ventas!S45</f>
        <v>0</v>
      </c>
      <c r="U4" s="25">
        <f>Ventas!T45</f>
        <v>0</v>
      </c>
      <c r="V4" s="25">
        <f>Ventas!U45</f>
        <v>0</v>
      </c>
      <c r="W4" s="25">
        <f>Ventas!V45</f>
        <v>0</v>
      </c>
      <c r="X4" s="25">
        <f>Ventas!W45</f>
        <v>0</v>
      </c>
      <c r="Y4" s="25">
        <f>Ventas!X45</f>
        <v>0</v>
      </c>
      <c r="Z4" s="25">
        <f>Ventas!Y45</f>
        <v>0</v>
      </c>
      <c r="AA4" s="25">
        <f>Ventas!Z45</f>
        <v>0</v>
      </c>
      <c r="AB4" s="25">
        <f>Ventas!AA45</f>
        <v>0</v>
      </c>
      <c r="AC4" s="25">
        <f>Ventas!AB45</f>
        <v>0</v>
      </c>
      <c r="AD4" s="25">
        <f>Ventas!AC45</f>
        <v>0</v>
      </c>
      <c r="AE4" s="24">
        <f>Ventas!AE45</f>
        <v>0</v>
      </c>
      <c r="AF4" s="24">
        <f>Ventas!AF45</f>
        <v>0</v>
      </c>
      <c r="AG4" s="24">
        <f>Ventas!AG45</f>
        <v>0</v>
      </c>
      <c r="AH4" s="24">
        <f>Ventas!AH45</f>
        <v>0</v>
      </c>
      <c r="AI4" s="24">
        <f>Ventas!AI45</f>
        <v>0</v>
      </c>
      <c r="AJ4" s="24">
        <f>Ventas!AJ45</f>
        <v>0</v>
      </c>
      <c r="AK4" s="24">
        <f>Ventas!AK45</f>
        <v>0</v>
      </c>
      <c r="AL4" s="24">
        <f>Ventas!AL45</f>
        <v>0</v>
      </c>
      <c r="AM4" s="24">
        <f>Ventas!AM45</f>
        <v>0</v>
      </c>
      <c r="AN4" s="24">
        <f>Ventas!AN45</f>
        <v>0</v>
      </c>
      <c r="AO4" s="24">
        <f>Ventas!AO45</f>
        <v>0</v>
      </c>
      <c r="AP4" s="24">
        <f>Ventas!AP45</f>
        <v>0</v>
      </c>
    </row>
    <row r="5" spans="1:42" hidden="1" outlineLevel="1">
      <c r="A5" s="31">
        <f>+Catálogo!B9</f>
        <v>0</v>
      </c>
      <c r="G5" s="24">
        <f>Ventas!E46</f>
        <v>0</v>
      </c>
      <c r="H5" s="24">
        <f>Ventas!F46</f>
        <v>0</v>
      </c>
      <c r="I5" s="24">
        <f>Ventas!G46</f>
        <v>0</v>
      </c>
      <c r="J5" s="24">
        <f>Ventas!H46</f>
        <v>0</v>
      </c>
      <c r="K5" s="24">
        <f>Ventas!I46</f>
        <v>0</v>
      </c>
      <c r="L5" s="24">
        <f>Ventas!J46</f>
        <v>0</v>
      </c>
      <c r="M5" s="24">
        <f>Ventas!K46</f>
        <v>0</v>
      </c>
      <c r="N5" s="24">
        <f>Ventas!L46</f>
        <v>0</v>
      </c>
      <c r="O5" s="24">
        <f>Ventas!M46</f>
        <v>0</v>
      </c>
      <c r="P5" s="24">
        <f>Ventas!N46</f>
        <v>0</v>
      </c>
      <c r="Q5" s="24">
        <f>Ventas!O46</f>
        <v>0</v>
      </c>
      <c r="R5" s="24">
        <f>Ventas!P46</f>
        <v>0</v>
      </c>
      <c r="S5" s="25">
        <f>Ventas!R46</f>
        <v>0</v>
      </c>
      <c r="T5" s="25">
        <f>Ventas!S46</f>
        <v>0</v>
      </c>
      <c r="U5" s="25">
        <f>Ventas!T46</f>
        <v>0</v>
      </c>
      <c r="V5" s="25">
        <f>Ventas!U46</f>
        <v>0</v>
      </c>
      <c r="W5" s="25">
        <f>Ventas!V46</f>
        <v>0</v>
      </c>
      <c r="X5" s="25">
        <f>Ventas!W46</f>
        <v>0</v>
      </c>
      <c r="Y5" s="25">
        <f>Ventas!X46</f>
        <v>0</v>
      </c>
      <c r="Z5" s="25">
        <f>Ventas!Y46</f>
        <v>0</v>
      </c>
      <c r="AA5" s="25">
        <f>Ventas!Z46</f>
        <v>0</v>
      </c>
      <c r="AB5" s="25">
        <f>Ventas!AA46</f>
        <v>0</v>
      </c>
      <c r="AC5" s="25">
        <f>Ventas!AB46</f>
        <v>0</v>
      </c>
      <c r="AD5" s="25">
        <f>Ventas!AC46</f>
        <v>0</v>
      </c>
      <c r="AE5" s="24">
        <f>Ventas!AE46</f>
        <v>0</v>
      </c>
      <c r="AF5" s="24">
        <f>Ventas!AF46</f>
        <v>0</v>
      </c>
      <c r="AG5" s="24">
        <f>Ventas!AG46</f>
        <v>0</v>
      </c>
      <c r="AH5" s="24">
        <f>Ventas!AH46</f>
        <v>0</v>
      </c>
      <c r="AI5" s="24">
        <f>Ventas!AI46</f>
        <v>0</v>
      </c>
      <c r="AJ5" s="24">
        <f>Ventas!AJ46</f>
        <v>0</v>
      </c>
      <c r="AK5" s="24">
        <f>Ventas!AK46</f>
        <v>0</v>
      </c>
      <c r="AL5" s="24">
        <f>Ventas!AL46</f>
        <v>0</v>
      </c>
      <c r="AM5" s="24">
        <f>Ventas!AM46</f>
        <v>0</v>
      </c>
      <c r="AN5" s="24">
        <f>Ventas!AN46</f>
        <v>0</v>
      </c>
      <c r="AO5" s="24">
        <f>Ventas!AO46</f>
        <v>0</v>
      </c>
      <c r="AP5" s="24">
        <f>Ventas!AP46</f>
        <v>0</v>
      </c>
    </row>
    <row r="6" spans="1:42" hidden="1" outlineLevel="1">
      <c r="A6" s="31">
        <f>+Catálogo!B10</f>
        <v>0</v>
      </c>
      <c r="G6" s="24">
        <f>Ventas!E47</f>
        <v>0</v>
      </c>
      <c r="H6" s="24">
        <f>Ventas!F47</f>
        <v>0</v>
      </c>
      <c r="I6" s="24">
        <f>Ventas!G47</f>
        <v>0</v>
      </c>
      <c r="J6" s="24">
        <f>Ventas!H47</f>
        <v>0</v>
      </c>
      <c r="K6" s="24">
        <f>Ventas!I47</f>
        <v>0</v>
      </c>
      <c r="L6" s="24">
        <f>Ventas!J47</f>
        <v>0</v>
      </c>
      <c r="M6" s="24">
        <f>Ventas!K47</f>
        <v>0</v>
      </c>
      <c r="N6" s="24">
        <f>Ventas!L47</f>
        <v>0</v>
      </c>
      <c r="O6" s="24">
        <f>Ventas!M47</f>
        <v>0</v>
      </c>
      <c r="P6" s="24">
        <f>Ventas!N47</f>
        <v>0</v>
      </c>
      <c r="Q6" s="24">
        <f>Ventas!O47</f>
        <v>0</v>
      </c>
      <c r="R6" s="24">
        <f>Ventas!P47</f>
        <v>0</v>
      </c>
      <c r="S6" s="25">
        <f>Ventas!R47</f>
        <v>0</v>
      </c>
      <c r="T6" s="25">
        <f>Ventas!S47</f>
        <v>0</v>
      </c>
      <c r="U6" s="25">
        <f>Ventas!T47</f>
        <v>0</v>
      </c>
      <c r="V6" s="25">
        <f>Ventas!U47</f>
        <v>0</v>
      </c>
      <c r="W6" s="25">
        <f>Ventas!V47</f>
        <v>0</v>
      </c>
      <c r="X6" s="25">
        <f>Ventas!W47</f>
        <v>0</v>
      </c>
      <c r="Y6" s="25">
        <f>Ventas!X47</f>
        <v>0</v>
      </c>
      <c r="Z6" s="25">
        <f>Ventas!Y47</f>
        <v>0</v>
      </c>
      <c r="AA6" s="25">
        <f>Ventas!Z47</f>
        <v>0</v>
      </c>
      <c r="AB6" s="25">
        <f>Ventas!AA47</f>
        <v>0</v>
      </c>
      <c r="AC6" s="25">
        <f>Ventas!AB47</f>
        <v>0</v>
      </c>
      <c r="AD6" s="25">
        <f>Ventas!AC47</f>
        <v>0</v>
      </c>
      <c r="AE6" s="24">
        <f>Ventas!AE47</f>
        <v>0</v>
      </c>
      <c r="AF6" s="24">
        <f>Ventas!AF47</f>
        <v>0</v>
      </c>
      <c r="AG6" s="24">
        <f>Ventas!AG47</f>
        <v>0</v>
      </c>
      <c r="AH6" s="24">
        <f>Ventas!AH47</f>
        <v>0</v>
      </c>
      <c r="AI6" s="24">
        <f>Ventas!AI47</f>
        <v>0</v>
      </c>
      <c r="AJ6" s="24">
        <f>Ventas!AJ47</f>
        <v>0</v>
      </c>
      <c r="AK6" s="24">
        <f>Ventas!AK47</f>
        <v>0</v>
      </c>
      <c r="AL6" s="24">
        <f>Ventas!AL47</f>
        <v>0</v>
      </c>
      <c r="AM6" s="24">
        <f>Ventas!AM47</f>
        <v>0</v>
      </c>
      <c r="AN6" s="24">
        <f>Ventas!AN47</f>
        <v>0</v>
      </c>
      <c r="AO6" s="24">
        <f>Ventas!AO47</f>
        <v>0</v>
      </c>
      <c r="AP6" s="24">
        <f>Ventas!AP47</f>
        <v>0</v>
      </c>
    </row>
    <row r="7" spans="1:42" hidden="1" outlineLevel="1">
      <c r="A7" s="31">
        <f>+Catálogo!B11</f>
        <v>0</v>
      </c>
      <c r="G7" s="24">
        <f>Ventas!E48</f>
        <v>0</v>
      </c>
      <c r="H7" s="24">
        <f>Ventas!F48</f>
        <v>0</v>
      </c>
      <c r="I7" s="24">
        <f>Ventas!G48</f>
        <v>0</v>
      </c>
      <c r="J7" s="24">
        <f>Ventas!H48</f>
        <v>0</v>
      </c>
      <c r="K7" s="24">
        <f>Ventas!I48</f>
        <v>0</v>
      </c>
      <c r="L7" s="24">
        <f>Ventas!J48</f>
        <v>0</v>
      </c>
      <c r="M7" s="24">
        <f>Ventas!K48</f>
        <v>0</v>
      </c>
      <c r="N7" s="24">
        <f>Ventas!L48</f>
        <v>0</v>
      </c>
      <c r="O7" s="24">
        <f>Ventas!M48</f>
        <v>0</v>
      </c>
      <c r="P7" s="24">
        <f>Ventas!N48</f>
        <v>0</v>
      </c>
      <c r="Q7" s="24">
        <f>Ventas!O48</f>
        <v>0</v>
      </c>
      <c r="R7" s="24">
        <f>Ventas!P48</f>
        <v>0</v>
      </c>
      <c r="S7" s="25">
        <f>Ventas!R48</f>
        <v>0</v>
      </c>
      <c r="T7" s="25">
        <f>Ventas!S48</f>
        <v>0</v>
      </c>
      <c r="U7" s="25">
        <f>Ventas!T48</f>
        <v>0</v>
      </c>
      <c r="V7" s="25">
        <f>Ventas!U48</f>
        <v>0</v>
      </c>
      <c r="W7" s="25">
        <f>Ventas!V48</f>
        <v>0</v>
      </c>
      <c r="X7" s="25">
        <f>Ventas!W48</f>
        <v>0</v>
      </c>
      <c r="Y7" s="25">
        <f>Ventas!X48</f>
        <v>0</v>
      </c>
      <c r="Z7" s="25">
        <f>Ventas!Y48</f>
        <v>0</v>
      </c>
      <c r="AA7" s="25">
        <f>Ventas!Z48</f>
        <v>0</v>
      </c>
      <c r="AB7" s="25">
        <f>Ventas!AA48</f>
        <v>0</v>
      </c>
      <c r="AC7" s="25">
        <f>Ventas!AB48</f>
        <v>0</v>
      </c>
      <c r="AD7" s="25">
        <f>Ventas!AC48</f>
        <v>0</v>
      </c>
      <c r="AE7" s="24">
        <f>Ventas!AE48</f>
        <v>0</v>
      </c>
      <c r="AF7" s="24">
        <f>Ventas!AF48</f>
        <v>0</v>
      </c>
      <c r="AG7" s="24">
        <f>Ventas!AG48</f>
        <v>0</v>
      </c>
      <c r="AH7" s="24">
        <f>Ventas!AH48</f>
        <v>0</v>
      </c>
      <c r="AI7" s="24">
        <f>Ventas!AI48</f>
        <v>0</v>
      </c>
      <c r="AJ7" s="24">
        <f>Ventas!AJ48</f>
        <v>0</v>
      </c>
      <c r="AK7" s="24">
        <f>Ventas!AK48</f>
        <v>0</v>
      </c>
      <c r="AL7" s="24">
        <f>Ventas!AL48</f>
        <v>0</v>
      </c>
      <c r="AM7" s="24">
        <f>Ventas!AM48</f>
        <v>0</v>
      </c>
      <c r="AN7" s="24">
        <f>Ventas!AN48</f>
        <v>0</v>
      </c>
      <c r="AO7" s="24">
        <f>Ventas!AO48</f>
        <v>0</v>
      </c>
      <c r="AP7" s="24">
        <f>Ventas!AP48</f>
        <v>0</v>
      </c>
    </row>
    <row r="8" spans="1:42" hidden="1" outlineLevel="1">
      <c r="A8" s="31">
        <f>+Catálogo!B12</f>
        <v>0</v>
      </c>
      <c r="G8" s="24">
        <f>Ventas!E49</f>
        <v>0</v>
      </c>
      <c r="H8" s="24">
        <f>Ventas!F49</f>
        <v>0</v>
      </c>
      <c r="I8" s="24">
        <f>Ventas!G49</f>
        <v>0</v>
      </c>
      <c r="J8" s="24">
        <f>Ventas!H49</f>
        <v>0</v>
      </c>
      <c r="K8" s="24">
        <f>Ventas!I49</f>
        <v>0</v>
      </c>
      <c r="L8" s="24">
        <f>Ventas!J49</f>
        <v>0</v>
      </c>
      <c r="M8" s="24">
        <f>Ventas!K49</f>
        <v>0</v>
      </c>
      <c r="N8" s="24">
        <f>Ventas!L49</f>
        <v>0</v>
      </c>
      <c r="O8" s="24">
        <f>Ventas!M49</f>
        <v>0</v>
      </c>
      <c r="P8" s="24">
        <f>Ventas!N49</f>
        <v>0</v>
      </c>
      <c r="Q8" s="24">
        <f>Ventas!O49</f>
        <v>0</v>
      </c>
      <c r="R8" s="24">
        <f>Ventas!P49</f>
        <v>0</v>
      </c>
      <c r="S8" s="25">
        <f>Ventas!R49</f>
        <v>0</v>
      </c>
      <c r="T8" s="25">
        <f>Ventas!S49</f>
        <v>0</v>
      </c>
      <c r="U8" s="25">
        <f>Ventas!T49</f>
        <v>0</v>
      </c>
      <c r="V8" s="25">
        <f>Ventas!U49</f>
        <v>0</v>
      </c>
      <c r="W8" s="25">
        <f>Ventas!V49</f>
        <v>0</v>
      </c>
      <c r="X8" s="25">
        <f>Ventas!W49</f>
        <v>0</v>
      </c>
      <c r="Y8" s="25">
        <f>Ventas!X49</f>
        <v>0</v>
      </c>
      <c r="Z8" s="25">
        <f>Ventas!Y49</f>
        <v>0</v>
      </c>
      <c r="AA8" s="25">
        <f>Ventas!Z49</f>
        <v>0</v>
      </c>
      <c r="AB8" s="25">
        <f>Ventas!AA49</f>
        <v>0</v>
      </c>
      <c r="AC8" s="25">
        <f>Ventas!AB49</f>
        <v>0</v>
      </c>
      <c r="AD8" s="25">
        <f>Ventas!AC49</f>
        <v>0</v>
      </c>
      <c r="AE8" s="24">
        <f>Ventas!AE49</f>
        <v>0</v>
      </c>
      <c r="AF8" s="24">
        <f>Ventas!AF49</f>
        <v>0</v>
      </c>
      <c r="AG8" s="24">
        <f>Ventas!AG49</f>
        <v>0</v>
      </c>
      <c r="AH8" s="24">
        <f>Ventas!AH49</f>
        <v>0</v>
      </c>
      <c r="AI8" s="24">
        <f>Ventas!AI49</f>
        <v>0</v>
      </c>
      <c r="AJ8" s="24">
        <f>Ventas!AJ49</f>
        <v>0</v>
      </c>
      <c r="AK8" s="24">
        <f>Ventas!AK49</f>
        <v>0</v>
      </c>
      <c r="AL8" s="24">
        <f>Ventas!AL49</f>
        <v>0</v>
      </c>
      <c r="AM8" s="24">
        <f>Ventas!AM49</f>
        <v>0</v>
      </c>
      <c r="AN8" s="24">
        <f>Ventas!AN49</f>
        <v>0</v>
      </c>
      <c r="AO8" s="24">
        <f>Ventas!AO49</f>
        <v>0</v>
      </c>
      <c r="AP8" s="24">
        <f>Ventas!AP49</f>
        <v>0</v>
      </c>
    </row>
    <row r="9" spans="1:42" hidden="1" outlineLevel="1">
      <c r="A9" s="31">
        <f>+Catálogo!B13</f>
        <v>0</v>
      </c>
      <c r="G9" s="24">
        <f>Ventas!E50</f>
        <v>0</v>
      </c>
      <c r="H9" s="24">
        <f>Ventas!F50</f>
        <v>0</v>
      </c>
      <c r="I9" s="24">
        <f>Ventas!G50</f>
        <v>0</v>
      </c>
      <c r="J9" s="24">
        <f>Ventas!H50</f>
        <v>0</v>
      </c>
      <c r="K9" s="24">
        <f>Ventas!I50</f>
        <v>0</v>
      </c>
      <c r="L9" s="24">
        <f>Ventas!J50</f>
        <v>0</v>
      </c>
      <c r="M9" s="24">
        <f>Ventas!K50</f>
        <v>0</v>
      </c>
      <c r="N9" s="24">
        <f>Ventas!L50</f>
        <v>0</v>
      </c>
      <c r="O9" s="24">
        <f>Ventas!M50</f>
        <v>0</v>
      </c>
      <c r="P9" s="24">
        <f>Ventas!N50</f>
        <v>0</v>
      </c>
      <c r="Q9" s="24">
        <f>Ventas!O50</f>
        <v>0</v>
      </c>
      <c r="R9" s="24">
        <f>Ventas!P50</f>
        <v>0</v>
      </c>
      <c r="S9" s="25">
        <f>Ventas!R50</f>
        <v>0</v>
      </c>
      <c r="T9" s="25">
        <f>Ventas!S50</f>
        <v>0</v>
      </c>
      <c r="U9" s="25">
        <f>Ventas!T50</f>
        <v>0</v>
      </c>
      <c r="V9" s="25">
        <f>Ventas!U50</f>
        <v>0</v>
      </c>
      <c r="W9" s="25">
        <f>Ventas!V50</f>
        <v>0</v>
      </c>
      <c r="X9" s="25">
        <f>Ventas!W50</f>
        <v>0</v>
      </c>
      <c r="Y9" s="25">
        <f>Ventas!X50</f>
        <v>0</v>
      </c>
      <c r="Z9" s="25">
        <f>Ventas!Y50</f>
        <v>0</v>
      </c>
      <c r="AA9" s="25">
        <f>Ventas!Z50</f>
        <v>0</v>
      </c>
      <c r="AB9" s="25">
        <f>Ventas!AA50</f>
        <v>0</v>
      </c>
      <c r="AC9" s="25">
        <f>Ventas!AB50</f>
        <v>0</v>
      </c>
      <c r="AD9" s="25">
        <f>Ventas!AC50</f>
        <v>0</v>
      </c>
      <c r="AE9" s="24">
        <f>Ventas!AE50</f>
        <v>0</v>
      </c>
      <c r="AF9" s="24">
        <f>Ventas!AF50</f>
        <v>0</v>
      </c>
      <c r="AG9" s="24">
        <f>Ventas!AG50</f>
        <v>0</v>
      </c>
      <c r="AH9" s="24">
        <f>Ventas!AH50</f>
        <v>0</v>
      </c>
      <c r="AI9" s="24">
        <f>Ventas!AI50</f>
        <v>0</v>
      </c>
      <c r="AJ9" s="24">
        <f>Ventas!AJ50</f>
        <v>0</v>
      </c>
      <c r="AK9" s="24">
        <f>Ventas!AK50</f>
        <v>0</v>
      </c>
      <c r="AL9" s="24">
        <f>Ventas!AL50</f>
        <v>0</v>
      </c>
      <c r="AM9" s="24">
        <f>Ventas!AM50</f>
        <v>0</v>
      </c>
      <c r="AN9" s="24">
        <f>Ventas!AN50</f>
        <v>0</v>
      </c>
      <c r="AO9" s="24">
        <f>Ventas!AO50</f>
        <v>0</v>
      </c>
      <c r="AP9" s="24">
        <f>Ventas!AP50</f>
        <v>0</v>
      </c>
    </row>
    <row r="10" spans="1:42" hidden="1" outlineLevel="1">
      <c r="A10" s="31">
        <f>+Catálogo!B14</f>
        <v>0</v>
      </c>
      <c r="G10" s="24">
        <f>Ventas!E51</f>
        <v>0</v>
      </c>
      <c r="H10" s="24">
        <f>Ventas!F51</f>
        <v>0</v>
      </c>
      <c r="I10" s="24">
        <f>Ventas!G51</f>
        <v>0</v>
      </c>
      <c r="J10" s="24">
        <f>Ventas!H51</f>
        <v>0</v>
      </c>
      <c r="K10" s="24">
        <f>Ventas!I51</f>
        <v>0</v>
      </c>
      <c r="L10" s="24">
        <f>Ventas!J51</f>
        <v>0</v>
      </c>
      <c r="M10" s="24">
        <f>Ventas!K51</f>
        <v>0</v>
      </c>
      <c r="N10" s="24">
        <f>Ventas!L51</f>
        <v>0</v>
      </c>
      <c r="O10" s="24">
        <f>Ventas!M51</f>
        <v>0</v>
      </c>
      <c r="P10" s="24">
        <f>Ventas!N51</f>
        <v>0</v>
      </c>
      <c r="Q10" s="24">
        <f>Ventas!O51</f>
        <v>0</v>
      </c>
      <c r="R10" s="24">
        <f>Ventas!P51</f>
        <v>0</v>
      </c>
      <c r="S10" s="25">
        <f>Ventas!R51</f>
        <v>0</v>
      </c>
      <c r="T10" s="25">
        <f>Ventas!S51</f>
        <v>0</v>
      </c>
      <c r="U10" s="25">
        <f>Ventas!T51</f>
        <v>0</v>
      </c>
      <c r="V10" s="25">
        <f>Ventas!U51</f>
        <v>0</v>
      </c>
      <c r="W10" s="25">
        <f>Ventas!V51</f>
        <v>0</v>
      </c>
      <c r="X10" s="25">
        <f>Ventas!W51</f>
        <v>0</v>
      </c>
      <c r="Y10" s="25">
        <f>Ventas!X51</f>
        <v>0</v>
      </c>
      <c r="Z10" s="25">
        <f>Ventas!Y51</f>
        <v>0</v>
      </c>
      <c r="AA10" s="25">
        <f>Ventas!Z51</f>
        <v>0</v>
      </c>
      <c r="AB10" s="25">
        <f>Ventas!AA51</f>
        <v>0</v>
      </c>
      <c r="AC10" s="25">
        <f>Ventas!AB51</f>
        <v>0</v>
      </c>
      <c r="AD10" s="25">
        <f>Ventas!AC51</f>
        <v>0</v>
      </c>
      <c r="AE10" s="24">
        <f>Ventas!AE51</f>
        <v>0</v>
      </c>
      <c r="AF10" s="24">
        <f>Ventas!AF51</f>
        <v>0</v>
      </c>
      <c r="AG10" s="24">
        <f>Ventas!AG51</f>
        <v>0</v>
      </c>
      <c r="AH10" s="24">
        <f>Ventas!AH51</f>
        <v>0</v>
      </c>
      <c r="AI10" s="24">
        <f>Ventas!AI51</f>
        <v>0</v>
      </c>
      <c r="AJ10" s="24">
        <f>Ventas!AJ51</f>
        <v>0</v>
      </c>
      <c r="AK10" s="24">
        <f>Ventas!AK51</f>
        <v>0</v>
      </c>
      <c r="AL10" s="24">
        <f>Ventas!AL51</f>
        <v>0</v>
      </c>
      <c r="AM10" s="24">
        <f>Ventas!AM51</f>
        <v>0</v>
      </c>
      <c r="AN10" s="24">
        <f>Ventas!AN51</f>
        <v>0</v>
      </c>
      <c r="AO10" s="24">
        <f>Ventas!AO51</f>
        <v>0</v>
      </c>
      <c r="AP10" s="24">
        <f>Ventas!AP51</f>
        <v>0</v>
      </c>
    </row>
    <row r="11" spans="1:42" ht="15.75" hidden="1" customHeight="1" outlineLevel="1">
      <c r="A11" s="31">
        <f>+Catálogo!B15</f>
        <v>0</v>
      </c>
      <c r="B11" s="23" t="s">
        <v>46</v>
      </c>
      <c r="G11" s="24">
        <f>Ventas!E52</f>
        <v>0</v>
      </c>
      <c r="H11" s="24">
        <f>Ventas!F52</f>
        <v>0</v>
      </c>
      <c r="I11" s="24">
        <f>Ventas!G52</f>
        <v>0</v>
      </c>
      <c r="J11" s="24">
        <f>Ventas!H52</f>
        <v>0</v>
      </c>
      <c r="K11" s="24">
        <f>Ventas!I52</f>
        <v>0</v>
      </c>
      <c r="L11" s="24">
        <f>Ventas!J52</f>
        <v>0</v>
      </c>
      <c r="M11" s="24">
        <f>Ventas!K52</f>
        <v>0</v>
      </c>
      <c r="N11" s="24">
        <f>Ventas!L52</f>
        <v>0</v>
      </c>
      <c r="O11" s="24">
        <f>Ventas!M52</f>
        <v>0</v>
      </c>
      <c r="P11" s="24">
        <f>Ventas!N52</f>
        <v>0</v>
      </c>
      <c r="Q11" s="24">
        <f>Ventas!O52</f>
        <v>0</v>
      </c>
      <c r="R11" s="24">
        <f>Ventas!P52</f>
        <v>0</v>
      </c>
      <c r="S11" s="25">
        <f>Ventas!R52</f>
        <v>0</v>
      </c>
      <c r="T11" s="25">
        <f>Ventas!S52</f>
        <v>0</v>
      </c>
      <c r="U11" s="25">
        <f>Ventas!T52</f>
        <v>0</v>
      </c>
      <c r="V11" s="25">
        <f>Ventas!U52</f>
        <v>0</v>
      </c>
      <c r="W11" s="25">
        <f>Ventas!V52</f>
        <v>0</v>
      </c>
      <c r="X11" s="25">
        <f>Ventas!W52</f>
        <v>0</v>
      </c>
      <c r="Y11" s="25">
        <f>Ventas!X52</f>
        <v>0</v>
      </c>
      <c r="Z11" s="25">
        <f>Ventas!Y52</f>
        <v>0</v>
      </c>
      <c r="AA11" s="25">
        <f>Ventas!Z52</f>
        <v>0</v>
      </c>
      <c r="AB11" s="25">
        <f>Ventas!AA52</f>
        <v>0</v>
      </c>
      <c r="AC11" s="25">
        <f>Ventas!AB52</f>
        <v>0</v>
      </c>
      <c r="AD11" s="25">
        <f>Ventas!AC52</f>
        <v>0</v>
      </c>
      <c r="AE11" s="24">
        <f>Ventas!AE52</f>
        <v>0</v>
      </c>
      <c r="AF11" s="24">
        <f>Ventas!AF52</f>
        <v>0</v>
      </c>
      <c r="AG11" s="24">
        <f>Ventas!AG52</f>
        <v>0</v>
      </c>
      <c r="AH11" s="24">
        <f>Ventas!AH52</f>
        <v>0</v>
      </c>
      <c r="AI11" s="24">
        <f>Ventas!AI52</f>
        <v>0</v>
      </c>
      <c r="AJ11" s="24">
        <f>Ventas!AJ52</f>
        <v>0</v>
      </c>
      <c r="AK11" s="24">
        <f>Ventas!AK52</f>
        <v>0</v>
      </c>
      <c r="AL11" s="24">
        <f>Ventas!AL52</f>
        <v>0</v>
      </c>
      <c r="AM11" s="24">
        <f>Ventas!AM52</f>
        <v>0</v>
      </c>
      <c r="AN11" s="24">
        <f>Ventas!AN52</f>
        <v>0</v>
      </c>
      <c r="AO11" s="24">
        <f>Ventas!AO52</f>
        <v>0</v>
      </c>
      <c r="AP11" s="24">
        <f>Ventas!AP52</f>
        <v>0</v>
      </c>
    </row>
    <row r="12" spans="1:42" ht="15.75" hidden="1" customHeight="1" outlineLevel="1">
      <c r="A12" s="31">
        <f>+Catálogo!B16</f>
        <v>0</v>
      </c>
      <c r="G12" s="24">
        <f>Ventas!E53</f>
        <v>0</v>
      </c>
      <c r="H12" s="24">
        <f>Ventas!F53</f>
        <v>0</v>
      </c>
      <c r="I12" s="24">
        <f>Ventas!G53</f>
        <v>0</v>
      </c>
      <c r="J12" s="24">
        <f>Ventas!H53</f>
        <v>0</v>
      </c>
      <c r="K12" s="24">
        <f>Ventas!I53</f>
        <v>0</v>
      </c>
      <c r="L12" s="24">
        <f>Ventas!J53</f>
        <v>0</v>
      </c>
      <c r="M12" s="24">
        <f>Ventas!K53</f>
        <v>0</v>
      </c>
      <c r="N12" s="24">
        <f>Ventas!L53</f>
        <v>0</v>
      </c>
      <c r="O12" s="24">
        <f>Ventas!M53</f>
        <v>0</v>
      </c>
      <c r="P12" s="24">
        <f>Ventas!N53</f>
        <v>0</v>
      </c>
      <c r="Q12" s="24">
        <f>Ventas!O53</f>
        <v>0</v>
      </c>
      <c r="R12" s="24">
        <f>Ventas!P53</f>
        <v>0</v>
      </c>
      <c r="S12" s="25">
        <f>Ventas!R53</f>
        <v>0</v>
      </c>
      <c r="T12" s="25">
        <f>Ventas!S53</f>
        <v>0</v>
      </c>
      <c r="U12" s="25">
        <f>Ventas!T53</f>
        <v>0</v>
      </c>
      <c r="V12" s="25">
        <f>Ventas!U53</f>
        <v>0</v>
      </c>
      <c r="W12" s="25">
        <f>Ventas!V53</f>
        <v>0</v>
      </c>
      <c r="X12" s="25">
        <f>Ventas!W53</f>
        <v>0</v>
      </c>
      <c r="Y12" s="25">
        <f>Ventas!X53</f>
        <v>0</v>
      </c>
      <c r="Z12" s="25">
        <f>Ventas!Y53</f>
        <v>0</v>
      </c>
      <c r="AA12" s="25">
        <f>Ventas!Z53</f>
        <v>0</v>
      </c>
      <c r="AB12" s="25">
        <f>Ventas!AA53</f>
        <v>0</v>
      </c>
      <c r="AC12" s="25">
        <f>Ventas!AB53</f>
        <v>0</v>
      </c>
      <c r="AD12" s="25">
        <f>Ventas!AC53</f>
        <v>0</v>
      </c>
      <c r="AE12" s="24">
        <f>Ventas!AE53</f>
        <v>0</v>
      </c>
      <c r="AF12" s="24">
        <f>Ventas!AF53</f>
        <v>0</v>
      </c>
      <c r="AG12" s="24">
        <f>Ventas!AG53</f>
        <v>0</v>
      </c>
      <c r="AH12" s="24">
        <f>Ventas!AH53</f>
        <v>0</v>
      </c>
      <c r="AI12" s="24">
        <f>Ventas!AI53</f>
        <v>0</v>
      </c>
      <c r="AJ12" s="24">
        <f>Ventas!AJ53</f>
        <v>0</v>
      </c>
      <c r="AK12" s="24">
        <f>Ventas!AK53</f>
        <v>0</v>
      </c>
      <c r="AL12" s="24">
        <f>Ventas!AL53</f>
        <v>0</v>
      </c>
      <c r="AM12" s="24">
        <f>Ventas!AM53</f>
        <v>0</v>
      </c>
      <c r="AN12" s="24">
        <f>Ventas!AN53</f>
        <v>0</v>
      </c>
      <c r="AO12" s="24">
        <f>Ventas!AO53</f>
        <v>0</v>
      </c>
      <c r="AP12" s="24">
        <f>Ventas!AP53</f>
        <v>0</v>
      </c>
    </row>
    <row r="13" spans="1:42" ht="15.75" hidden="1" customHeight="1" outlineLevel="1">
      <c r="A13" s="31">
        <f>+Catálogo!B17</f>
        <v>0</v>
      </c>
      <c r="G13" s="24">
        <f>Ventas!E54</f>
        <v>0</v>
      </c>
      <c r="H13" s="24">
        <f>Ventas!F54</f>
        <v>0</v>
      </c>
      <c r="I13" s="24">
        <f>Ventas!G54</f>
        <v>0</v>
      </c>
      <c r="J13" s="24">
        <f>Ventas!H54</f>
        <v>0</v>
      </c>
      <c r="K13" s="24">
        <f>Ventas!I54</f>
        <v>0</v>
      </c>
      <c r="L13" s="24">
        <f>Ventas!J54</f>
        <v>0</v>
      </c>
      <c r="M13" s="24">
        <f>Ventas!K54</f>
        <v>0</v>
      </c>
      <c r="N13" s="24">
        <f>Ventas!L54</f>
        <v>0</v>
      </c>
      <c r="O13" s="24">
        <f>Ventas!M54</f>
        <v>0</v>
      </c>
      <c r="P13" s="24">
        <f>Ventas!N54</f>
        <v>0</v>
      </c>
      <c r="Q13" s="24">
        <f>Ventas!O54</f>
        <v>0</v>
      </c>
      <c r="R13" s="24">
        <f>Ventas!P54</f>
        <v>0</v>
      </c>
      <c r="S13" s="25">
        <f>Ventas!R54</f>
        <v>0</v>
      </c>
      <c r="T13" s="25">
        <f>Ventas!S54</f>
        <v>0</v>
      </c>
      <c r="U13" s="25">
        <f>Ventas!T54</f>
        <v>0</v>
      </c>
      <c r="V13" s="25">
        <f>Ventas!U54</f>
        <v>0</v>
      </c>
      <c r="W13" s="25">
        <f>Ventas!V54</f>
        <v>0</v>
      </c>
      <c r="X13" s="25">
        <f>Ventas!W54</f>
        <v>0</v>
      </c>
      <c r="Y13" s="25">
        <f>Ventas!X54</f>
        <v>0</v>
      </c>
      <c r="Z13" s="25">
        <f>Ventas!Y54</f>
        <v>0</v>
      </c>
      <c r="AA13" s="25">
        <f>Ventas!Z54</f>
        <v>0</v>
      </c>
      <c r="AB13" s="25">
        <f>Ventas!AA54</f>
        <v>0</v>
      </c>
      <c r="AC13" s="25">
        <f>Ventas!AB54</f>
        <v>0</v>
      </c>
      <c r="AD13" s="25">
        <f>Ventas!AC54</f>
        <v>0</v>
      </c>
      <c r="AE13" s="24">
        <f>Ventas!AE54</f>
        <v>0</v>
      </c>
      <c r="AF13" s="24">
        <f>Ventas!AF54</f>
        <v>0</v>
      </c>
      <c r="AG13" s="24">
        <f>Ventas!AG54</f>
        <v>0</v>
      </c>
      <c r="AH13" s="24">
        <f>Ventas!AH54</f>
        <v>0</v>
      </c>
      <c r="AI13" s="24">
        <f>Ventas!AI54</f>
        <v>0</v>
      </c>
      <c r="AJ13" s="24">
        <f>Ventas!AJ54</f>
        <v>0</v>
      </c>
      <c r="AK13" s="24">
        <f>Ventas!AK54</f>
        <v>0</v>
      </c>
      <c r="AL13" s="24">
        <f>Ventas!AL54</f>
        <v>0</v>
      </c>
      <c r="AM13" s="24">
        <f>Ventas!AM54</f>
        <v>0</v>
      </c>
      <c r="AN13" s="24">
        <f>Ventas!AN54</f>
        <v>0</v>
      </c>
      <c r="AO13" s="24">
        <f>Ventas!AO54</f>
        <v>0</v>
      </c>
      <c r="AP13" s="24">
        <f>Ventas!AP54</f>
        <v>0</v>
      </c>
    </row>
    <row r="14" spans="1:42" ht="15.75" hidden="1" customHeight="1" outlineLevel="1">
      <c r="A14" s="31">
        <f>+Catálogo!B18</f>
        <v>0</v>
      </c>
      <c r="G14" s="24">
        <f>Ventas!E55</f>
        <v>0</v>
      </c>
      <c r="H14" s="24">
        <f>Ventas!F55</f>
        <v>0</v>
      </c>
      <c r="I14" s="24">
        <f>Ventas!G55</f>
        <v>0</v>
      </c>
      <c r="J14" s="24">
        <f>Ventas!H55</f>
        <v>0</v>
      </c>
      <c r="K14" s="24">
        <f>Ventas!I55</f>
        <v>0</v>
      </c>
      <c r="L14" s="24">
        <f>Ventas!J55</f>
        <v>0</v>
      </c>
      <c r="M14" s="24">
        <f>Ventas!K55</f>
        <v>0</v>
      </c>
      <c r="N14" s="24">
        <f>Ventas!L55</f>
        <v>0</v>
      </c>
      <c r="O14" s="24">
        <f>Ventas!M55</f>
        <v>0</v>
      </c>
      <c r="P14" s="24">
        <f>Ventas!N55</f>
        <v>0</v>
      </c>
      <c r="Q14" s="24">
        <f>Ventas!O55</f>
        <v>0</v>
      </c>
      <c r="R14" s="24">
        <f>Ventas!P55</f>
        <v>0</v>
      </c>
      <c r="S14" s="25">
        <f>Ventas!R55</f>
        <v>0</v>
      </c>
      <c r="T14" s="25">
        <f>Ventas!S55</f>
        <v>0</v>
      </c>
      <c r="U14" s="25">
        <f>Ventas!T55</f>
        <v>0</v>
      </c>
      <c r="V14" s="25">
        <f>Ventas!U55</f>
        <v>0</v>
      </c>
      <c r="W14" s="25">
        <f>Ventas!V55</f>
        <v>0</v>
      </c>
      <c r="X14" s="25">
        <f>Ventas!W55</f>
        <v>0</v>
      </c>
      <c r="Y14" s="25">
        <f>Ventas!X55</f>
        <v>0</v>
      </c>
      <c r="Z14" s="25">
        <f>Ventas!Y55</f>
        <v>0</v>
      </c>
      <c r="AA14" s="25">
        <f>Ventas!Z55</f>
        <v>0</v>
      </c>
      <c r="AB14" s="25">
        <f>Ventas!AA55</f>
        <v>0</v>
      </c>
      <c r="AC14" s="25">
        <f>Ventas!AB55</f>
        <v>0</v>
      </c>
      <c r="AD14" s="25">
        <f>Ventas!AC55</f>
        <v>0</v>
      </c>
      <c r="AE14" s="24">
        <f>Ventas!AE55</f>
        <v>0</v>
      </c>
      <c r="AF14" s="24">
        <f>Ventas!AF55</f>
        <v>0</v>
      </c>
      <c r="AG14" s="24">
        <f>Ventas!AG55</f>
        <v>0</v>
      </c>
      <c r="AH14" s="24">
        <f>Ventas!AH55</f>
        <v>0</v>
      </c>
      <c r="AI14" s="24">
        <f>Ventas!AI55</f>
        <v>0</v>
      </c>
      <c r="AJ14" s="24">
        <f>Ventas!AJ55</f>
        <v>0</v>
      </c>
      <c r="AK14" s="24">
        <f>Ventas!AK55</f>
        <v>0</v>
      </c>
      <c r="AL14" s="24">
        <f>Ventas!AL55</f>
        <v>0</v>
      </c>
      <c r="AM14" s="24">
        <f>Ventas!AM55</f>
        <v>0</v>
      </c>
      <c r="AN14" s="24">
        <f>Ventas!AN55</f>
        <v>0</v>
      </c>
      <c r="AO14" s="24">
        <f>Ventas!AO55</f>
        <v>0</v>
      </c>
      <c r="AP14" s="24">
        <f>Ventas!AP55</f>
        <v>0</v>
      </c>
    </row>
    <row r="15" spans="1:42" ht="15.75" hidden="1" customHeight="1" outlineLevel="1">
      <c r="A15" s="31">
        <f>+Catálogo!B19</f>
        <v>0</v>
      </c>
      <c r="G15" s="24">
        <f>Ventas!E56</f>
        <v>0</v>
      </c>
      <c r="H15" s="24">
        <f>Ventas!F56</f>
        <v>0</v>
      </c>
      <c r="I15" s="24">
        <f>Ventas!G56</f>
        <v>0</v>
      </c>
      <c r="J15" s="24">
        <f>Ventas!H56</f>
        <v>0</v>
      </c>
      <c r="K15" s="24">
        <f>Ventas!I56</f>
        <v>0</v>
      </c>
      <c r="L15" s="24">
        <f>Ventas!J56</f>
        <v>0</v>
      </c>
      <c r="M15" s="24">
        <f>Ventas!K56</f>
        <v>0</v>
      </c>
      <c r="N15" s="24">
        <f>Ventas!L56</f>
        <v>0</v>
      </c>
      <c r="O15" s="24">
        <f>Ventas!M56</f>
        <v>0</v>
      </c>
      <c r="P15" s="24">
        <f>Ventas!N56</f>
        <v>0</v>
      </c>
      <c r="Q15" s="24">
        <f>Ventas!O56</f>
        <v>0</v>
      </c>
      <c r="R15" s="24">
        <f>Ventas!P56</f>
        <v>0</v>
      </c>
      <c r="S15" s="25">
        <f>Ventas!R56</f>
        <v>0</v>
      </c>
      <c r="T15" s="25">
        <f>Ventas!S56</f>
        <v>0</v>
      </c>
      <c r="U15" s="25">
        <f>Ventas!T56</f>
        <v>0</v>
      </c>
      <c r="V15" s="25">
        <f>Ventas!U56</f>
        <v>0</v>
      </c>
      <c r="W15" s="25">
        <f>Ventas!V56</f>
        <v>0</v>
      </c>
      <c r="X15" s="25">
        <f>Ventas!W56</f>
        <v>0</v>
      </c>
      <c r="Y15" s="25">
        <f>Ventas!X56</f>
        <v>0</v>
      </c>
      <c r="Z15" s="25">
        <f>Ventas!Y56</f>
        <v>0</v>
      </c>
      <c r="AA15" s="25">
        <f>Ventas!Z56</f>
        <v>0</v>
      </c>
      <c r="AB15" s="25">
        <f>Ventas!AA56</f>
        <v>0</v>
      </c>
      <c r="AC15" s="25">
        <f>Ventas!AB56</f>
        <v>0</v>
      </c>
      <c r="AD15" s="25">
        <f>Ventas!AC56</f>
        <v>0</v>
      </c>
      <c r="AE15" s="24">
        <f>Ventas!AE56</f>
        <v>0</v>
      </c>
      <c r="AF15" s="24">
        <f>Ventas!AF56</f>
        <v>0</v>
      </c>
      <c r="AG15" s="24">
        <f>Ventas!AG56</f>
        <v>0</v>
      </c>
      <c r="AH15" s="24">
        <f>Ventas!AH56</f>
        <v>0</v>
      </c>
      <c r="AI15" s="24">
        <f>Ventas!AI56</f>
        <v>0</v>
      </c>
      <c r="AJ15" s="24">
        <f>Ventas!AJ56</f>
        <v>0</v>
      </c>
      <c r="AK15" s="24">
        <f>Ventas!AK56</f>
        <v>0</v>
      </c>
      <c r="AL15" s="24">
        <f>Ventas!AL56</f>
        <v>0</v>
      </c>
      <c r="AM15" s="24">
        <f>Ventas!AM56</f>
        <v>0</v>
      </c>
      <c r="AN15" s="24">
        <f>Ventas!AN56</f>
        <v>0</v>
      </c>
      <c r="AO15" s="24">
        <f>Ventas!AO56</f>
        <v>0</v>
      </c>
      <c r="AP15" s="24">
        <f>Ventas!AP56</f>
        <v>0</v>
      </c>
    </row>
    <row r="16" spans="1:42" ht="15.75" hidden="1" customHeight="1" outlineLevel="1">
      <c r="A16" s="31">
        <f>+Catálogo!B20</f>
        <v>0</v>
      </c>
      <c r="G16" s="24">
        <f>Ventas!E57</f>
        <v>0</v>
      </c>
      <c r="H16" s="24">
        <f>Ventas!F57</f>
        <v>0</v>
      </c>
      <c r="I16" s="24">
        <f>Ventas!G57</f>
        <v>0</v>
      </c>
      <c r="J16" s="24">
        <f>Ventas!H57</f>
        <v>0</v>
      </c>
      <c r="K16" s="24">
        <f>Ventas!I57</f>
        <v>0</v>
      </c>
      <c r="L16" s="24">
        <f>Ventas!J57</f>
        <v>0</v>
      </c>
      <c r="M16" s="24">
        <f>Ventas!K57</f>
        <v>0</v>
      </c>
      <c r="N16" s="24">
        <f>Ventas!L57</f>
        <v>0</v>
      </c>
      <c r="O16" s="24">
        <f>Ventas!M57</f>
        <v>0</v>
      </c>
      <c r="P16" s="24">
        <f>Ventas!N57</f>
        <v>0</v>
      </c>
      <c r="Q16" s="24">
        <f>Ventas!O57</f>
        <v>0</v>
      </c>
      <c r="R16" s="24">
        <f>Ventas!P57</f>
        <v>0</v>
      </c>
      <c r="S16" s="25">
        <f>Ventas!R57</f>
        <v>0</v>
      </c>
      <c r="T16" s="25">
        <f>Ventas!S57</f>
        <v>0</v>
      </c>
      <c r="U16" s="25">
        <f>Ventas!T57</f>
        <v>0</v>
      </c>
      <c r="V16" s="25">
        <f>Ventas!U57</f>
        <v>0</v>
      </c>
      <c r="W16" s="25">
        <f>Ventas!V57</f>
        <v>0</v>
      </c>
      <c r="X16" s="25">
        <f>Ventas!W57</f>
        <v>0</v>
      </c>
      <c r="Y16" s="25">
        <f>Ventas!X57</f>
        <v>0</v>
      </c>
      <c r="Z16" s="25">
        <f>Ventas!Y57</f>
        <v>0</v>
      </c>
      <c r="AA16" s="25">
        <f>Ventas!Z57</f>
        <v>0</v>
      </c>
      <c r="AB16" s="25">
        <f>Ventas!AA57</f>
        <v>0</v>
      </c>
      <c r="AC16" s="25">
        <f>Ventas!AB57</f>
        <v>0</v>
      </c>
      <c r="AD16" s="25">
        <f>Ventas!AC57</f>
        <v>0</v>
      </c>
      <c r="AE16" s="24">
        <f>Ventas!AE57</f>
        <v>0</v>
      </c>
      <c r="AF16" s="24">
        <f>Ventas!AF57</f>
        <v>0</v>
      </c>
      <c r="AG16" s="24">
        <f>Ventas!AG57</f>
        <v>0</v>
      </c>
      <c r="AH16" s="24">
        <f>Ventas!AH57</f>
        <v>0</v>
      </c>
      <c r="AI16" s="24">
        <f>Ventas!AI57</f>
        <v>0</v>
      </c>
      <c r="AJ16" s="24">
        <f>Ventas!AJ57</f>
        <v>0</v>
      </c>
      <c r="AK16" s="24">
        <f>Ventas!AK57</f>
        <v>0</v>
      </c>
      <c r="AL16" s="24">
        <f>Ventas!AL57</f>
        <v>0</v>
      </c>
      <c r="AM16" s="24">
        <f>Ventas!AM57</f>
        <v>0</v>
      </c>
      <c r="AN16" s="24">
        <f>Ventas!AN57</f>
        <v>0</v>
      </c>
      <c r="AO16" s="24">
        <f>Ventas!AO57</f>
        <v>0</v>
      </c>
      <c r="AP16" s="24">
        <f>Ventas!AP57</f>
        <v>0</v>
      </c>
    </row>
    <row r="17" spans="1:44" s="26" customFormat="1" collapsed="1">
      <c r="A17" s="26" t="s">
        <v>82</v>
      </c>
      <c r="G17" s="27">
        <f>SUM(G2:G16)</f>
        <v>0</v>
      </c>
      <c r="H17" s="27">
        <f>SUM(H2:H16)</f>
        <v>0</v>
      </c>
      <c r="I17" s="27">
        <f t="shared" ref="I17:AP17" si="1">SUM(I2:I16)</f>
        <v>0</v>
      </c>
      <c r="J17" s="27">
        <f t="shared" si="1"/>
        <v>0</v>
      </c>
      <c r="K17" s="27">
        <f t="shared" si="1"/>
        <v>0</v>
      </c>
      <c r="L17" s="27">
        <f t="shared" si="1"/>
        <v>0</v>
      </c>
      <c r="M17" s="27">
        <f t="shared" si="1"/>
        <v>0</v>
      </c>
      <c r="N17" s="27">
        <f t="shared" si="1"/>
        <v>0</v>
      </c>
      <c r="O17" s="27">
        <f t="shared" si="1"/>
        <v>0</v>
      </c>
      <c r="P17" s="27">
        <f t="shared" si="1"/>
        <v>0</v>
      </c>
      <c r="Q17" s="27">
        <f t="shared" si="1"/>
        <v>0</v>
      </c>
      <c r="R17" s="27">
        <f t="shared" si="1"/>
        <v>0</v>
      </c>
      <c r="S17" s="28">
        <f t="shared" si="1"/>
        <v>0</v>
      </c>
      <c r="T17" s="28">
        <f t="shared" si="1"/>
        <v>0</v>
      </c>
      <c r="U17" s="28">
        <f t="shared" si="1"/>
        <v>0</v>
      </c>
      <c r="V17" s="28">
        <f t="shared" si="1"/>
        <v>0</v>
      </c>
      <c r="W17" s="28">
        <f t="shared" si="1"/>
        <v>0</v>
      </c>
      <c r="X17" s="28">
        <f t="shared" si="1"/>
        <v>0</v>
      </c>
      <c r="Y17" s="28">
        <f t="shared" si="1"/>
        <v>0</v>
      </c>
      <c r="Z17" s="28">
        <f t="shared" si="1"/>
        <v>0</v>
      </c>
      <c r="AA17" s="28">
        <f t="shared" si="1"/>
        <v>0</v>
      </c>
      <c r="AB17" s="28">
        <f t="shared" si="1"/>
        <v>0</v>
      </c>
      <c r="AC17" s="28">
        <f t="shared" si="1"/>
        <v>0</v>
      </c>
      <c r="AD17" s="28">
        <f t="shared" si="1"/>
        <v>0</v>
      </c>
      <c r="AE17" s="27">
        <f t="shared" si="1"/>
        <v>0</v>
      </c>
      <c r="AF17" s="27">
        <f t="shared" si="1"/>
        <v>0</v>
      </c>
      <c r="AG17" s="27">
        <f t="shared" si="1"/>
        <v>0</v>
      </c>
      <c r="AH17" s="27">
        <f t="shared" si="1"/>
        <v>0</v>
      </c>
      <c r="AI17" s="27">
        <f t="shared" si="1"/>
        <v>0</v>
      </c>
      <c r="AJ17" s="27">
        <f t="shared" si="1"/>
        <v>0</v>
      </c>
      <c r="AK17" s="27">
        <f t="shared" si="1"/>
        <v>0</v>
      </c>
      <c r="AL17" s="27">
        <f t="shared" si="1"/>
        <v>0</v>
      </c>
      <c r="AM17" s="27">
        <f t="shared" si="1"/>
        <v>0</v>
      </c>
      <c r="AN17" s="27">
        <f t="shared" si="1"/>
        <v>0</v>
      </c>
      <c r="AO17" s="27">
        <f t="shared" si="1"/>
        <v>0</v>
      </c>
      <c r="AP17" s="27">
        <f t="shared" si="1"/>
        <v>0</v>
      </c>
      <c r="AQ17" s="26" t="s">
        <v>382</v>
      </c>
      <c r="AR17" s="26" t="s">
        <v>123</v>
      </c>
    </row>
    <row r="18" spans="1:44" hidden="1" outlineLevel="1">
      <c r="A18" s="22">
        <f t="shared" ref="A18:A32" si="2">+A2</f>
        <v>0</v>
      </c>
      <c r="B18" s="23">
        <f>+Catálogo!E6</f>
        <v>0</v>
      </c>
      <c r="G18" s="24">
        <f>IF($B18=0,G2,IF($B18=30,F2,IF($B18=60,E2,IF($B18=90,D2,C2))))</f>
        <v>0</v>
      </c>
      <c r="H18" s="24">
        <f t="shared" ref="H18:R18" si="3">IF($B18=0,H2,IF($B18=30,G2,IF($B18=60,F2,IF($B18=90,E2,D2))))</f>
        <v>0</v>
      </c>
      <c r="I18" s="24">
        <f t="shared" si="3"/>
        <v>0</v>
      </c>
      <c r="J18" s="24">
        <f t="shared" si="3"/>
        <v>0</v>
      </c>
      <c r="K18" s="24">
        <f t="shared" si="3"/>
        <v>0</v>
      </c>
      <c r="L18" s="24">
        <f t="shared" si="3"/>
        <v>0</v>
      </c>
      <c r="M18" s="24">
        <f t="shared" si="3"/>
        <v>0</v>
      </c>
      <c r="N18" s="24">
        <f t="shared" si="3"/>
        <v>0</v>
      </c>
      <c r="O18" s="24">
        <f t="shared" si="3"/>
        <v>0</v>
      </c>
      <c r="P18" s="24">
        <f t="shared" si="3"/>
        <v>0</v>
      </c>
      <c r="Q18" s="24">
        <f t="shared" si="3"/>
        <v>0</v>
      </c>
      <c r="R18" s="24">
        <f t="shared" si="3"/>
        <v>0</v>
      </c>
      <c r="S18" s="25">
        <f t="shared" ref="S18:AD32" si="4">IF($AQ18=0,S2,IF($AQ18=30,R2,IF($AQ18=60,Q2,IF($AQ18=90,P2,O2))))</f>
        <v>0</v>
      </c>
      <c r="T18" s="25">
        <f t="shared" si="4"/>
        <v>0</v>
      </c>
      <c r="U18" s="25">
        <f t="shared" si="4"/>
        <v>0</v>
      </c>
      <c r="V18" s="25">
        <f t="shared" si="4"/>
        <v>0</v>
      </c>
      <c r="W18" s="25">
        <f t="shared" si="4"/>
        <v>0</v>
      </c>
      <c r="X18" s="25">
        <f t="shared" si="4"/>
        <v>0</v>
      </c>
      <c r="Y18" s="25">
        <f t="shared" si="4"/>
        <v>0</v>
      </c>
      <c r="Z18" s="25">
        <f t="shared" si="4"/>
        <v>0</v>
      </c>
      <c r="AA18" s="25">
        <f t="shared" si="4"/>
        <v>0</v>
      </c>
      <c r="AB18" s="25">
        <f t="shared" si="4"/>
        <v>0</v>
      </c>
      <c r="AC18" s="25">
        <f t="shared" si="4"/>
        <v>0</v>
      </c>
      <c r="AD18" s="25">
        <f t="shared" si="4"/>
        <v>0</v>
      </c>
      <c r="AE18" s="24">
        <f t="shared" ref="AE18:AP32" si="5">IF($AR18=0,AE2,IF($AR18=30,AD2,IF($AR18=60,AC2,IF($AR18=90,AB2,AA2))))</f>
        <v>0</v>
      </c>
      <c r="AF18" s="24">
        <f t="shared" si="5"/>
        <v>0</v>
      </c>
      <c r="AG18" s="24">
        <f t="shared" si="5"/>
        <v>0</v>
      </c>
      <c r="AH18" s="24">
        <f t="shared" si="5"/>
        <v>0</v>
      </c>
      <c r="AI18" s="24">
        <f t="shared" si="5"/>
        <v>0</v>
      </c>
      <c r="AJ18" s="24">
        <f t="shared" si="5"/>
        <v>0</v>
      </c>
      <c r="AK18" s="24">
        <f t="shared" si="5"/>
        <v>0</v>
      </c>
      <c r="AL18" s="24">
        <f t="shared" si="5"/>
        <v>0</v>
      </c>
      <c r="AM18" s="24">
        <f t="shared" si="5"/>
        <v>0</v>
      </c>
      <c r="AN18" s="24">
        <f t="shared" si="5"/>
        <v>0</v>
      </c>
      <c r="AO18" s="24">
        <f t="shared" si="5"/>
        <v>0</v>
      </c>
      <c r="AP18" s="24">
        <f t="shared" si="5"/>
        <v>0</v>
      </c>
      <c r="AQ18" s="21">
        <f>+Catálogo!E25</f>
        <v>0</v>
      </c>
      <c r="AR18" s="21">
        <f>+Catálogo!E43</f>
        <v>0</v>
      </c>
    </row>
    <row r="19" spans="1:44" hidden="1" outlineLevel="1">
      <c r="A19" s="22">
        <f t="shared" si="2"/>
        <v>0</v>
      </c>
      <c r="B19" s="23">
        <f>+Catálogo!E7</f>
        <v>0</v>
      </c>
      <c r="G19" s="24">
        <f t="shared" ref="G19:R32" si="6">IF($B19=0,G3,IF($B19=30,F3,IF($B19=60,E3,IF($B19=90,D3,C3))))</f>
        <v>0</v>
      </c>
      <c r="H19" s="24">
        <f t="shared" si="6"/>
        <v>0</v>
      </c>
      <c r="I19" s="24">
        <f t="shared" si="6"/>
        <v>0</v>
      </c>
      <c r="J19" s="24">
        <f t="shared" si="6"/>
        <v>0</v>
      </c>
      <c r="K19" s="24">
        <f t="shared" si="6"/>
        <v>0</v>
      </c>
      <c r="L19" s="24">
        <f t="shared" si="6"/>
        <v>0</v>
      </c>
      <c r="M19" s="24">
        <f t="shared" si="6"/>
        <v>0</v>
      </c>
      <c r="N19" s="24">
        <f t="shared" si="6"/>
        <v>0</v>
      </c>
      <c r="O19" s="24">
        <f t="shared" si="6"/>
        <v>0</v>
      </c>
      <c r="P19" s="24">
        <f t="shared" si="6"/>
        <v>0</v>
      </c>
      <c r="Q19" s="24">
        <f t="shared" si="6"/>
        <v>0</v>
      </c>
      <c r="R19" s="24">
        <f t="shared" si="6"/>
        <v>0</v>
      </c>
      <c r="S19" s="25">
        <f t="shared" si="4"/>
        <v>0</v>
      </c>
      <c r="T19" s="25">
        <f t="shared" si="4"/>
        <v>0</v>
      </c>
      <c r="U19" s="25">
        <f t="shared" si="4"/>
        <v>0</v>
      </c>
      <c r="V19" s="25">
        <f t="shared" si="4"/>
        <v>0</v>
      </c>
      <c r="W19" s="25">
        <f t="shared" si="4"/>
        <v>0</v>
      </c>
      <c r="X19" s="25">
        <f t="shared" si="4"/>
        <v>0</v>
      </c>
      <c r="Y19" s="25">
        <f t="shared" si="4"/>
        <v>0</v>
      </c>
      <c r="Z19" s="25">
        <f t="shared" si="4"/>
        <v>0</v>
      </c>
      <c r="AA19" s="25">
        <f t="shared" si="4"/>
        <v>0</v>
      </c>
      <c r="AB19" s="25">
        <f t="shared" si="4"/>
        <v>0</v>
      </c>
      <c r="AC19" s="25">
        <f t="shared" si="4"/>
        <v>0</v>
      </c>
      <c r="AD19" s="25">
        <f t="shared" si="4"/>
        <v>0</v>
      </c>
      <c r="AE19" s="24">
        <f t="shared" si="5"/>
        <v>0</v>
      </c>
      <c r="AF19" s="24">
        <f t="shared" si="5"/>
        <v>0</v>
      </c>
      <c r="AG19" s="24">
        <f t="shared" si="5"/>
        <v>0</v>
      </c>
      <c r="AH19" s="24">
        <f t="shared" si="5"/>
        <v>0</v>
      </c>
      <c r="AI19" s="24">
        <f t="shared" si="5"/>
        <v>0</v>
      </c>
      <c r="AJ19" s="24">
        <f t="shared" si="5"/>
        <v>0</v>
      </c>
      <c r="AK19" s="24">
        <f t="shared" si="5"/>
        <v>0</v>
      </c>
      <c r="AL19" s="24">
        <f t="shared" si="5"/>
        <v>0</v>
      </c>
      <c r="AM19" s="24">
        <f t="shared" si="5"/>
        <v>0</v>
      </c>
      <c r="AN19" s="24">
        <f t="shared" si="5"/>
        <v>0</v>
      </c>
      <c r="AO19" s="24">
        <f t="shared" si="5"/>
        <v>0</v>
      </c>
      <c r="AP19" s="24">
        <f t="shared" si="5"/>
        <v>0</v>
      </c>
      <c r="AQ19" s="21">
        <f>+Catálogo!E26</f>
        <v>0</v>
      </c>
      <c r="AR19" s="21">
        <f>+Catálogo!E44</f>
        <v>0</v>
      </c>
    </row>
    <row r="20" spans="1:44" hidden="1" outlineLevel="1">
      <c r="A20" s="22">
        <f t="shared" si="2"/>
        <v>0</v>
      </c>
      <c r="B20" s="23">
        <f>+Catálogo!E8</f>
        <v>0</v>
      </c>
      <c r="G20" s="24">
        <f t="shared" si="6"/>
        <v>0</v>
      </c>
      <c r="H20" s="24">
        <f t="shared" si="6"/>
        <v>0</v>
      </c>
      <c r="I20" s="24">
        <f t="shared" si="6"/>
        <v>0</v>
      </c>
      <c r="J20" s="24">
        <f t="shared" si="6"/>
        <v>0</v>
      </c>
      <c r="K20" s="24">
        <f t="shared" si="6"/>
        <v>0</v>
      </c>
      <c r="L20" s="24">
        <f t="shared" si="6"/>
        <v>0</v>
      </c>
      <c r="M20" s="24">
        <f t="shared" si="6"/>
        <v>0</v>
      </c>
      <c r="N20" s="24">
        <f t="shared" si="6"/>
        <v>0</v>
      </c>
      <c r="O20" s="24">
        <f t="shared" si="6"/>
        <v>0</v>
      </c>
      <c r="P20" s="24">
        <f t="shared" si="6"/>
        <v>0</v>
      </c>
      <c r="Q20" s="24">
        <f t="shared" si="6"/>
        <v>0</v>
      </c>
      <c r="R20" s="24">
        <f t="shared" si="6"/>
        <v>0</v>
      </c>
      <c r="S20" s="25">
        <f t="shared" si="4"/>
        <v>0</v>
      </c>
      <c r="T20" s="25">
        <f t="shared" si="4"/>
        <v>0</v>
      </c>
      <c r="U20" s="25">
        <f t="shared" si="4"/>
        <v>0</v>
      </c>
      <c r="V20" s="25">
        <f t="shared" si="4"/>
        <v>0</v>
      </c>
      <c r="W20" s="25">
        <f t="shared" si="4"/>
        <v>0</v>
      </c>
      <c r="X20" s="25">
        <f t="shared" si="4"/>
        <v>0</v>
      </c>
      <c r="Y20" s="25">
        <f t="shared" si="4"/>
        <v>0</v>
      </c>
      <c r="Z20" s="25">
        <f t="shared" si="4"/>
        <v>0</v>
      </c>
      <c r="AA20" s="25">
        <f t="shared" si="4"/>
        <v>0</v>
      </c>
      <c r="AB20" s="25">
        <f t="shared" si="4"/>
        <v>0</v>
      </c>
      <c r="AC20" s="25">
        <f t="shared" si="4"/>
        <v>0</v>
      </c>
      <c r="AD20" s="25">
        <f t="shared" si="4"/>
        <v>0</v>
      </c>
      <c r="AE20" s="24">
        <f t="shared" si="5"/>
        <v>0</v>
      </c>
      <c r="AF20" s="24">
        <f t="shared" si="5"/>
        <v>0</v>
      </c>
      <c r="AG20" s="24">
        <f t="shared" si="5"/>
        <v>0</v>
      </c>
      <c r="AH20" s="24">
        <f t="shared" si="5"/>
        <v>0</v>
      </c>
      <c r="AI20" s="24">
        <f t="shared" si="5"/>
        <v>0</v>
      </c>
      <c r="AJ20" s="24">
        <f t="shared" si="5"/>
        <v>0</v>
      </c>
      <c r="AK20" s="24">
        <f t="shared" si="5"/>
        <v>0</v>
      </c>
      <c r="AL20" s="24">
        <f t="shared" si="5"/>
        <v>0</v>
      </c>
      <c r="AM20" s="24">
        <f t="shared" si="5"/>
        <v>0</v>
      </c>
      <c r="AN20" s="24">
        <f t="shared" si="5"/>
        <v>0</v>
      </c>
      <c r="AO20" s="24">
        <f t="shared" si="5"/>
        <v>0</v>
      </c>
      <c r="AP20" s="24">
        <f t="shared" si="5"/>
        <v>0</v>
      </c>
      <c r="AQ20" s="21">
        <f>+Catálogo!E27</f>
        <v>0</v>
      </c>
      <c r="AR20" s="21">
        <f>+Catálogo!E45</f>
        <v>0</v>
      </c>
    </row>
    <row r="21" spans="1:44" hidden="1" outlineLevel="1">
      <c r="A21" s="22">
        <f t="shared" si="2"/>
        <v>0</v>
      </c>
      <c r="B21" s="23">
        <f>+Catálogo!E9</f>
        <v>0</v>
      </c>
      <c r="G21" s="24">
        <f t="shared" si="6"/>
        <v>0</v>
      </c>
      <c r="H21" s="24">
        <f t="shared" si="6"/>
        <v>0</v>
      </c>
      <c r="I21" s="24">
        <f t="shared" si="6"/>
        <v>0</v>
      </c>
      <c r="J21" s="24">
        <f t="shared" si="6"/>
        <v>0</v>
      </c>
      <c r="K21" s="24">
        <f t="shared" si="6"/>
        <v>0</v>
      </c>
      <c r="L21" s="24">
        <f t="shared" si="6"/>
        <v>0</v>
      </c>
      <c r="M21" s="24">
        <f t="shared" si="6"/>
        <v>0</v>
      </c>
      <c r="N21" s="24">
        <f t="shared" si="6"/>
        <v>0</v>
      </c>
      <c r="O21" s="24">
        <f t="shared" si="6"/>
        <v>0</v>
      </c>
      <c r="P21" s="24">
        <f t="shared" si="6"/>
        <v>0</v>
      </c>
      <c r="Q21" s="24">
        <f t="shared" si="6"/>
        <v>0</v>
      </c>
      <c r="R21" s="24">
        <f t="shared" si="6"/>
        <v>0</v>
      </c>
      <c r="S21" s="25">
        <f t="shared" si="4"/>
        <v>0</v>
      </c>
      <c r="T21" s="25">
        <f t="shared" si="4"/>
        <v>0</v>
      </c>
      <c r="U21" s="25">
        <f t="shared" si="4"/>
        <v>0</v>
      </c>
      <c r="V21" s="25">
        <f t="shared" si="4"/>
        <v>0</v>
      </c>
      <c r="W21" s="25">
        <f t="shared" si="4"/>
        <v>0</v>
      </c>
      <c r="X21" s="25">
        <f t="shared" si="4"/>
        <v>0</v>
      </c>
      <c r="Y21" s="25">
        <f t="shared" si="4"/>
        <v>0</v>
      </c>
      <c r="Z21" s="25">
        <f t="shared" si="4"/>
        <v>0</v>
      </c>
      <c r="AA21" s="25">
        <f t="shared" si="4"/>
        <v>0</v>
      </c>
      <c r="AB21" s="25">
        <f t="shared" si="4"/>
        <v>0</v>
      </c>
      <c r="AC21" s="25">
        <f t="shared" si="4"/>
        <v>0</v>
      </c>
      <c r="AD21" s="25">
        <f t="shared" si="4"/>
        <v>0</v>
      </c>
      <c r="AE21" s="24">
        <f t="shared" si="5"/>
        <v>0</v>
      </c>
      <c r="AF21" s="24">
        <f t="shared" si="5"/>
        <v>0</v>
      </c>
      <c r="AG21" s="24">
        <f t="shared" si="5"/>
        <v>0</v>
      </c>
      <c r="AH21" s="24">
        <f t="shared" si="5"/>
        <v>0</v>
      </c>
      <c r="AI21" s="24">
        <f t="shared" si="5"/>
        <v>0</v>
      </c>
      <c r="AJ21" s="24">
        <f t="shared" si="5"/>
        <v>0</v>
      </c>
      <c r="AK21" s="24">
        <f t="shared" si="5"/>
        <v>0</v>
      </c>
      <c r="AL21" s="24">
        <f t="shared" si="5"/>
        <v>0</v>
      </c>
      <c r="AM21" s="24">
        <f t="shared" si="5"/>
        <v>0</v>
      </c>
      <c r="AN21" s="24">
        <f t="shared" si="5"/>
        <v>0</v>
      </c>
      <c r="AO21" s="24">
        <f t="shared" si="5"/>
        <v>0</v>
      </c>
      <c r="AP21" s="24">
        <f t="shared" si="5"/>
        <v>0</v>
      </c>
      <c r="AQ21" s="21">
        <f>+Catálogo!E28</f>
        <v>0</v>
      </c>
      <c r="AR21" s="21">
        <f>+Catálogo!E46</f>
        <v>0</v>
      </c>
    </row>
    <row r="22" spans="1:44" hidden="1" outlineLevel="1">
      <c r="A22" s="22">
        <f t="shared" si="2"/>
        <v>0</v>
      </c>
      <c r="B22" s="23">
        <f>+Catálogo!E10</f>
        <v>0</v>
      </c>
      <c r="G22" s="24">
        <f t="shared" si="6"/>
        <v>0</v>
      </c>
      <c r="H22" s="24">
        <f t="shared" si="6"/>
        <v>0</v>
      </c>
      <c r="I22" s="24">
        <f t="shared" si="6"/>
        <v>0</v>
      </c>
      <c r="J22" s="24">
        <f t="shared" si="6"/>
        <v>0</v>
      </c>
      <c r="K22" s="24">
        <f t="shared" si="6"/>
        <v>0</v>
      </c>
      <c r="L22" s="24">
        <f t="shared" si="6"/>
        <v>0</v>
      </c>
      <c r="M22" s="24">
        <f t="shared" si="6"/>
        <v>0</v>
      </c>
      <c r="N22" s="24">
        <f t="shared" si="6"/>
        <v>0</v>
      </c>
      <c r="O22" s="24">
        <f t="shared" si="6"/>
        <v>0</v>
      </c>
      <c r="P22" s="24">
        <f t="shared" si="6"/>
        <v>0</v>
      </c>
      <c r="Q22" s="24">
        <f t="shared" si="6"/>
        <v>0</v>
      </c>
      <c r="R22" s="24">
        <f t="shared" si="6"/>
        <v>0</v>
      </c>
      <c r="S22" s="25">
        <f t="shared" si="4"/>
        <v>0</v>
      </c>
      <c r="T22" s="25">
        <f t="shared" si="4"/>
        <v>0</v>
      </c>
      <c r="U22" s="25">
        <f t="shared" si="4"/>
        <v>0</v>
      </c>
      <c r="V22" s="25">
        <f t="shared" si="4"/>
        <v>0</v>
      </c>
      <c r="W22" s="25">
        <f t="shared" si="4"/>
        <v>0</v>
      </c>
      <c r="X22" s="25">
        <f t="shared" si="4"/>
        <v>0</v>
      </c>
      <c r="Y22" s="25">
        <f t="shared" si="4"/>
        <v>0</v>
      </c>
      <c r="Z22" s="25">
        <f t="shared" si="4"/>
        <v>0</v>
      </c>
      <c r="AA22" s="25">
        <f t="shared" si="4"/>
        <v>0</v>
      </c>
      <c r="AB22" s="25">
        <f t="shared" si="4"/>
        <v>0</v>
      </c>
      <c r="AC22" s="25">
        <f t="shared" si="4"/>
        <v>0</v>
      </c>
      <c r="AD22" s="25">
        <f t="shared" si="4"/>
        <v>0</v>
      </c>
      <c r="AE22" s="24">
        <f t="shared" si="5"/>
        <v>0</v>
      </c>
      <c r="AF22" s="24">
        <f t="shared" si="5"/>
        <v>0</v>
      </c>
      <c r="AG22" s="24">
        <f t="shared" si="5"/>
        <v>0</v>
      </c>
      <c r="AH22" s="24">
        <f t="shared" si="5"/>
        <v>0</v>
      </c>
      <c r="AI22" s="24">
        <f t="shared" si="5"/>
        <v>0</v>
      </c>
      <c r="AJ22" s="24">
        <f t="shared" si="5"/>
        <v>0</v>
      </c>
      <c r="AK22" s="24">
        <f t="shared" si="5"/>
        <v>0</v>
      </c>
      <c r="AL22" s="24">
        <f t="shared" si="5"/>
        <v>0</v>
      </c>
      <c r="AM22" s="24">
        <f t="shared" si="5"/>
        <v>0</v>
      </c>
      <c r="AN22" s="24">
        <f t="shared" si="5"/>
        <v>0</v>
      </c>
      <c r="AO22" s="24">
        <f t="shared" si="5"/>
        <v>0</v>
      </c>
      <c r="AP22" s="24">
        <f t="shared" si="5"/>
        <v>0</v>
      </c>
      <c r="AQ22" s="21">
        <f>+Catálogo!E29</f>
        <v>0</v>
      </c>
      <c r="AR22" s="21">
        <f>+Catálogo!E47</f>
        <v>0</v>
      </c>
    </row>
    <row r="23" spans="1:44" hidden="1" outlineLevel="1">
      <c r="A23" s="22">
        <f t="shared" si="2"/>
        <v>0</v>
      </c>
      <c r="B23" s="23">
        <f>+Catálogo!E11</f>
        <v>0</v>
      </c>
      <c r="G23" s="24">
        <f t="shared" si="6"/>
        <v>0</v>
      </c>
      <c r="H23" s="24">
        <f t="shared" si="6"/>
        <v>0</v>
      </c>
      <c r="I23" s="24">
        <f t="shared" si="6"/>
        <v>0</v>
      </c>
      <c r="J23" s="24">
        <f t="shared" si="6"/>
        <v>0</v>
      </c>
      <c r="K23" s="24">
        <f t="shared" si="6"/>
        <v>0</v>
      </c>
      <c r="L23" s="24">
        <f t="shared" si="6"/>
        <v>0</v>
      </c>
      <c r="M23" s="24">
        <f t="shared" si="6"/>
        <v>0</v>
      </c>
      <c r="N23" s="24">
        <f t="shared" si="6"/>
        <v>0</v>
      </c>
      <c r="O23" s="24">
        <f t="shared" si="6"/>
        <v>0</v>
      </c>
      <c r="P23" s="24">
        <f t="shared" si="6"/>
        <v>0</v>
      </c>
      <c r="Q23" s="24">
        <f t="shared" si="6"/>
        <v>0</v>
      </c>
      <c r="R23" s="24">
        <f t="shared" si="6"/>
        <v>0</v>
      </c>
      <c r="S23" s="25">
        <f t="shared" si="4"/>
        <v>0</v>
      </c>
      <c r="T23" s="25">
        <f t="shared" si="4"/>
        <v>0</v>
      </c>
      <c r="U23" s="25">
        <f t="shared" si="4"/>
        <v>0</v>
      </c>
      <c r="V23" s="25">
        <f t="shared" si="4"/>
        <v>0</v>
      </c>
      <c r="W23" s="25">
        <f t="shared" si="4"/>
        <v>0</v>
      </c>
      <c r="X23" s="25">
        <f t="shared" si="4"/>
        <v>0</v>
      </c>
      <c r="Y23" s="25">
        <f t="shared" si="4"/>
        <v>0</v>
      </c>
      <c r="Z23" s="25">
        <f t="shared" si="4"/>
        <v>0</v>
      </c>
      <c r="AA23" s="25">
        <f t="shared" si="4"/>
        <v>0</v>
      </c>
      <c r="AB23" s="25">
        <f t="shared" si="4"/>
        <v>0</v>
      </c>
      <c r="AC23" s="25">
        <f t="shared" si="4"/>
        <v>0</v>
      </c>
      <c r="AD23" s="25">
        <f t="shared" si="4"/>
        <v>0</v>
      </c>
      <c r="AE23" s="24">
        <f t="shared" si="5"/>
        <v>0</v>
      </c>
      <c r="AF23" s="24">
        <f t="shared" si="5"/>
        <v>0</v>
      </c>
      <c r="AG23" s="24">
        <f t="shared" si="5"/>
        <v>0</v>
      </c>
      <c r="AH23" s="24">
        <f t="shared" si="5"/>
        <v>0</v>
      </c>
      <c r="AI23" s="24">
        <f t="shared" si="5"/>
        <v>0</v>
      </c>
      <c r="AJ23" s="24">
        <f t="shared" si="5"/>
        <v>0</v>
      </c>
      <c r="AK23" s="24">
        <f t="shared" si="5"/>
        <v>0</v>
      </c>
      <c r="AL23" s="24">
        <f t="shared" si="5"/>
        <v>0</v>
      </c>
      <c r="AM23" s="24">
        <f t="shared" si="5"/>
        <v>0</v>
      </c>
      <c r="AN23" s="24">
        <f t="shared" si="5"/>
        <v>0</v>
      </c>
      <c r="AO23" s="24">
        <f t="shared" si="5"/>
        <v>0</v>
      </c>
      <c r="AP23" s="24">
        <f t="shared" si="5"/>
        <v>0</v>
      </c>
      <c r="AQ23" s="21">
        <f>+Catálogo!E30</f>
        <v>0</v>
      </c>
      <c r="AR23" s="21">
        <f>+Catálogo!E48</f>
        <v>0</v>
      </c>
    </row>
    <row r="24" spans="1:44" hidden="1" outlineLevel="1">
      <c r="A24" s="22">
        <f t="shared" si="2"/>
        <v>0</v>
      </c>
      <c r="B24" s="23">
        <f>+Catálogo!E12</f>
        <v>0</v>
      </c>
      <c r="G24" s="24">
        <f t="shared" si="6"/>
        <v>0</v>
      </c>
      <c r="H24" s="24">
        <f t="shared" si="6"/>
        <v>0</v>
      </c>
      <c r="I24" s="24">
        <f t="shared" si="6"/>
        <v>0</v>
      </c>
      <c r="J24" s="24">
        <f t="shared" si="6"/>
        <v>0</v>
      </c>
      <c r="K24" s="24">
        <f t="shared" si="6"/>
        <v>0</v>
      </c>
      <c r="L24" s="24">
        <f t="shared" si="6"/>
        <v>0</v>
      </c>
      <c r="M24" s="24">
        <f t="shared" si="6"/>
        <v>0</v>
      </c>
      <c r="N24" s="24">
        <f t="shared" si="6"/>
        <v>0</v>
      </c>
      <c r="O24" s="24">
        <f t="shared" si="6"/>
        <v>0</v>
      </c>
      <c r="P24" s="24">
        <f t="shared" si="6"/>
        <v>0</v>
      </c>
      <c r="Q24" s="24">
        <f t="shared" si="6"/>
        <v>0</v>
      </c>
      <c r="R24" s="24">
        <f t="shared" si="6"/>
        <v>0</v>
      </c>
      <c r="S24" s="25">
        <f t="shared" si="4"/>
        <v>0</v>
      </c>
      <c r="T24" s="25">
        <f t="shared" si="4"/>
        <v>0</v>
      </c>
      <c r="U24" s="25">
        <f t="shared" si="4"/>
        <v>0</v>
      </c>
      <c r="V24" s="25">
        <f t="shared" si="4"/>
        <v>0</v>
      </c>
      <c r="W24" s="25">
        <f t="shared" si="4"/>
        <v>0</v>
      </c>
      <c r="X24" s="25">
        <f t="shared" si="4"/>
        <v>0</v>
      </c>
      <c r="Y24" s="25">
        <f t="shared" si="4"/>
        <v>0</v>
      </c>
      <c r="Z24" s="25">
        <f t="shared" si="4"/>
        <v>0</v>
      </c>
      <c r="AA24" s="25">
        <f t="shared" si="4"/>
        <v>0</v>
      </c>
      <c r="AB24" s="25">
        <f t="shared" si="4"/>
        <v>0</v>
      </c>
      <c r="AC24" s="25">
        <f t="shared" si="4"/>
        <v>0</v>
      </c>
      <c r="AD24" s="25">
        <f t="shared" si="4"/>
        <v>0</v>
      </c>
      <c r="AE24" s="24">
        <f t="shared" si="5"/>
        <v>0</v>
      </c>
      <c r="AF24" s="24">
        <f t="shared" si="5"/>
        <v>0</v>
      </c>
      <c r="AG24" s="24">
        <f t="shared" si="5"/>
        <v>0</v>
      </c>
      <c r="AH24" s="24">
        <f t="shared" si="5"/>
        <v>0</v>
      </c>
      <c r="AI24" s="24">
        <f t="shared" si="5"/>
        <v>0</v>
      </c>
      <c r="AJ24" s="24">
        <f t="shared" si="5"/>
        <v>0</v>
      </c>
      <c r="AK24" s="24">
        <f t="shared" si="5"/>
        <v>0</v>
      </c>
      <c r="AL24" s="24">
        <f t="shared" si="5"/>
        <v>0</v>
      </c>
      <c r="AM24" s="24">
        <f t="shared" si="5"/>
        <v>0</v>
      </c>
      <c r="AN24" s="24">
        <f t="shared" si="5"/>
        <v>0</v>
      </c>
      <c r="AO24" s="24">
        <f t="shared" si="5"/>
        <v>0</v>
      </c>
      <c r="AP24" s="24">
        <f t="shared" si="5"/>
        <v>0</v>
      </c>
      <c r="AQ24" s="21">
        <f>+Catálogo!E31</f>
        <v>0</v>
      </c>
      <c r="AR24" s="21">
        <f>+Catálogo!E49</f>
        <v>0</v>
      </c>
    </row>
    <row r="25" spans="1:44" hidden="1" outlineLevel="1">
      <c r="A25" s="22">
        <f t="shared" si="2"/>
        <v>0</v>
      </c>
      <c r="B25" s="23">
        <f>+Catálogo!E13</f>
        <v>0</v>
      </c>
      <c r="G25" s="24">
        <f t="shared" si="6"/>
        <v>0</v>
      </c>
      <c r="H25" s="24">
        <f t="shared" si="6"/>
        <v>0</v>
      </c>
      <c r="I25" s="24">
        <f t="shared" si="6"/>
        <v>0</v>
      </c>
      <c r="J25" s="24">
        <f t="shared" si="6"/>
        <v>0</v>
      </c>
      <c r="K25" s="24">
        <f t="shared" si="6"/>
        <v>0</v>
      </c>
      <c r="L25" s="24">
        <f t="shared" si="6"/>
        <v>0</v>
      </c>
      <c r="M25" s="24">
        <f t="shared" si="6"/>
        <v>0</v>
      </c>
      <c r="N25" s="24">
        <f t="shared" si="6"/>
        <v>0</v>
      </c>
      <c r="O25" s="24">
        <f t="shared" si="6"/>
        <v>0</v>
      </c>
      <c r="P25" s="24">
        <f t="shared" si="6"/>
        <v>0</v>
      </c>
      <c r="Q25" s="24">
        <f t="shared" si="6"/>
        <v>0</v>
      </c>
      <c r="R25" s="24">
        <f t="shared" si="6"/>
        <v>0</v>
      </c>
      <c r="S25" s="25">
        <f t="shared" si="4"/>
        <v>0</v>
      </c>
      <c r="T25" s="25">
        <f t="shared" si="4"/>
        <v>0</v>
      </c>
      <c r="U25" s="25">
        <f t="shared" si="4"/>
        <v>0</v>
      </c>
      <c r="V25" s="25">
        <f t="shared" si="4"/>
        <v>0</v>
      </c>
      <c r="W25" s="25">
        <f t="shared" si="4"/>
        <v>0</v>
      </c>
      <c r="X25" s="25">
        <f t="shared" si="4"/>
        <v>0</v>
      </c>
      <c r="Y25" s="25">
        <f t="shared" si="4"/>
        <v>0</v>
      </c>
      <c r="Z25" s="25">
        <f t="shared" si="4"/>
        <v>0</v>
      </c>
      <c r="AA25" s="25">
        <f t="shared" si="4"/>
        <v>0</v>
      </c>
      <c r="AB25" s="25">
        <f t="shared" si="4"/>
        <v>0</v>
      </c>
      <c r="AC25" s="25">
        <f t="shared" si="4"/>
        <v>0</v>
      </c>
      <c r="AD25" s="25">
        <f t="shared" si="4"/>
        <v>0</v>
      </c>
      <c r="AE25" s="24">
        <f t="shared" si="5"/>
        <v>0</v>
      </c>
      <c r="AF25" s="24">
        <f t="shared" si="5"/>
        <v>0</v>
      </c>
      <c r="AG25" s="24">
        <f t="shared" si="5"/>
        <v>0</v>
      </c>
      <c r="AH25" s="24">
        <f t="shared" si="5"/>
        <v>0</v>
      </c>
      <c r="AI25" s="24">
        <f t="shared" si="5"/>
        <v>0</v>
      </c>
      <c r="AJ25" s="24">
        <f t="shared" si="5"/>
        <v>0</v>
      </c>
      <c r="AK25" s="24">
        <f t="shared" si="5"/>
        <v>0</v>
      </c>
      <c r="AL25" s="24">
        <f t="shared" si="5"/>
        <v>0</v>
      </c>
      <c r="AM25" s="24">
        <f t="shared" si="5"/>
        <v>0</v>
      </c>
      <c r="AN25" s="24">
        <f t="shared" si="5"/>
        <v>0</v>
      </c>
      <c r="AO25" s="24">
        <f t="shared" si="5"/>
        <v>0</v>
      </c>
      <c r="AP25" s="24">
        <f t="shared" si="5"/>
        <v>0</v>
      </c>
      <c r="AQ25" s="21">
        <f>+Catálogo!E32</f>
        <v>0</v>
      </c>
      <c r="AR25" s="21">
        <f>+Catálogo!E50</f>
        <v>0</v>
      </c>
    </row>
    <row r="26" spans="1:44" hidden="1" outlineLevel="1">
      <c r="A26" s="22">
        <f t="shared" si="2"/>
        <v>0</v>
      </c>
      <c r="B26" s="23">
        <f>+Catálogo!E14</f>
        <v>0</v>
      </c>
      <c r="G26" s="24">
        <f t="shared" si="6"/>
        <v>0</v>
      </c>
      <c r="H26" s="24">
        <f t="shared" si="6"/>
        <v>0</v>
      </c>
      <c r="I26" s="24">
        <f t="shared" si="6"/>
        <v>0</v>
      </c>
      <c r="J26" s="24">
        <f t="shared" si="6"/>
        <v>0</v>
      </c>
      <c r="K26" s="24">
        <f t="shared" si="6"/>
        <v>0</v>
      </c>
      <c r="L26" s="24">
        <f t="shared" si="6"/>
        <v>0</v>
      </c>
      <c r="M26" s="24">
        <f t="shared" si="6"/>
        <v>0</v>
      </c>
      <c r="N26" s="24">
        <f t="shared" si="6"/>
        <v>0</v>
      </c>
      <c r="O26" s="24">
        <f t="shared" si="6"/>
        <v>0</v>
      </c>
      <c r="P26" s="24">
        <f t="shared" si="6"/>
        <v>0</v>
      </c>
      <c r="Q26" s="24">
        <f t="shared" si="6"/>
        <v>0</v>
      </c>
      <c r="R26" s="24">
        <f t="shared" si="6"/>
        <v>0</v>
      </c>
      <c r="S26" s="25">
        <f t="shared" si="4"/>
        <v>0</v>
      </c>
      <c r="T26" s="25">
        <f t="shared" si="4"/>
        <v>0</v>
      </c>
      <c r="U26" s="25">
        <f t="shared" si="4"/>
        <v>0</v>
      </c>
      <c r="V26" s="25">
        <f t="shared" si="4"/>
        <v>0</v>
      </c>
      <c r="W26" s="25">
        <f t="shared" si="4"/>
        <v>0</v>
      </c>
      <c r="X26" s="25">
        <f t="shared" si="4"/>
        <v>0</v>
      </c>
      <c r="Y26" s="25">
        <f t="shared" si="4"/>
        <v>0</v>
      </c>
      <c r="Z26" s="25">
        <f t="shared" si="4"/>
        <v>0</v>
      </c>
      <c r="AA26" s="25">
        <f t="shared" si="4"/>
        <v>0</v>
      </c>
      <c r="AB26" s="25">
        <f t="shared" si="4"/>
        <v>0</v>
      </c>
      <c r="AC26" s="25">
        <f t="shared" si="4"/>
        <v>0</v>
      </c>
      <c r="AD26" s="25">
        <f t="shared" si="4"/>
        <v>0</v>
      </c>
      <c r="AE26" s="24">
        <f t="shared" si="5"/>
        <v>0</v>
      </c>
      <c r="AF26" s="24">
        <f t="shared" si="5"/>
        <v>0</v>
      </c>
      <c r="AG26" s="24">
        <f t="shared" si="5"/>
        <v>0</v>
      </c>
      <c r="AH26" s="24">
        <f t="shared" si="5"/>
        <v>0</v>
      </c>
      <c r="AI26" s="24">
        <f t="shared" si="5"/>
        <v>0</v>
      </c>
      <c r="AJ26" s="24">
        <f t="shared" si="5"/>
        <v>0</v>
      </c>
      <c r="AK26" s="24">
        <f t="shared" si="5"/>
        <v>0</v>
      </c>
      <c r="AL26" s="24">
        <f t="shared" si="5"/>
        <v>0</v>
      </c>
      <c r="AM26" s="24">
        <f t="shared" si="5"/>
        <v>0</v>
      </c>
      <c r="AN26" s="24">
        <f t="shared" si="5"/>
        <v>0</v>
      </c>
      <c r="AO26" s="24">
        <f t="shared" si="5"/>
        <v>0</v>
      </c>
      <c r="AP26" s="24">
        <f t="shared" si="5"/>
        <v>0</v>
      </c>
      <c r="AQ26" s="21">
        <f>+Catálogo!E33</f>
        <v>0</v>
      </c>
      <c r="AR26" s="21">
        <f>+Catálogo!E51</f>
        <v>0</v>
      </c>
    </row>
    <row r="27" spans="1:44" hidden="1" outlineLevel="1">
      <c r="A27" s="22">
        <f t="shared" si="2"/>
        <v>0</v>
      </c>
      <c r="B27" s="23">
        <f>+Catálogo!E15</f>
        <v>0</v>
      </c>
      <c r="F27" s="21" t="s">
        <v>46</v>
      </c>
      <c r="G27" s="24">
        <f t="shared" si="6"/>
        <v>0</v>
      </c>
      <c r="H27" s="24">
        <f t="shared" si="6"/>
        <v>0</v>
      </c>
      <c r="I27" s="24">
        <f t="shared" si="6"/>
        <v>0</v>
      </c>
      <c r="J27" s="24">
        <f t="shared" si="6"/>
        <v>0</v>
      </c>
      <c r="K27" s="24">
        <f t="shared" si="6"/>
        <v>0</v>
      </c>
      <c r="L27" s="24">
        <f t="shared" si="6"/>
        <v>0</v>
      </c>
      <c r="M27" s="24">
        <f t="shared" si="6"/>
        <v>0</v>
      </c>
      <c r="N27" s="24">
        <f t="shared" si="6"/>
        <v>0</v>
      </c>
      <c r="O27" s="24">
        <f t="shared" si="6"/>
        <v>0</v>
      </c>
      <c r="P27" s="24">
        <f t="shared" si="6"/>
        <v>0</v>
      </c>
      <c r="Q27" s="24">
        <f t="shared" si="6"/>
        <v>0</v>
      </c>
      <c r="R27" s="24">
        <f t="shared" si="6"/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4">
        <f t="shared" si="5"/>
        <v>0</v>
      </c>
      <c r="AF27" s="24">
        <f t="shared" si="5"/>
        <v>0</v>
      </c>
      <c r="AG27" s="24">
        <f t="shared" si="5"/>
        <v>0</v>
      </c>
      <c r="AH27" s="24">
        <f t="shared" si="5"/>
        <v>0</v>
      </c>
      <c r="AI27" s="24">
        <f t="shared" si="5"/>
        <v>0</v>
      </c>
      <c r="AJ27" s="24">
        <f t="shared" si="5"/>
        <v>0</v>
      </c>
      <c r="AK27" s="24">
        <f t="shared" si="5"/>
        <v>0</v>
      </c>
      <c r="AL27" s="24">
        <f t="shared" si="5"/>
        <v>0</v>
      </c>
      <c r="AM27" s="24">
        <f t="shared" si="5"/>
        <v>0</v>
      </c>
      <c r="AN27" s="24">
        <f t="shared" si="5"/>
        <v>0</v>
      </c>
      <c r="AO27" s="24">
        <f t="shared" si="5"/>
        <v>0</v>
      </c>
      <c r="AP27" s="24">
        <f t="shared" si="5"/>
        <v>0</v>
      </c>
      <c r="AQ27" s="21">
        <f>+Catálogo!E34</f>
        <v>0</v>
      </c>
      <c r="AR27" s="21">
        <f>+Catálogo!E52</f>
        <v>0</v>
      </c>
    </row>
    <row r="28" spans="1:44" hidden="1" outlineLevel="1">
      <c r="A28" s="22">
        <f t="shared" si="2"/>
        <v>0</v>
      </c>
      <c r="B28" s="23">
        <f>+Catálogo!E16</f>
        <v>0</v>
      </c>
      <c r="G28" s="24">
        <f t="shared" si="6"/>
        <v>0</v>
      </c>
      <c r="H28" s="24">
        <f t="shared" si="6"/>
        <v>0</v>
      </c>
      <c r="I28" s="24">
        <f t="shared" si="6"/>
        <v>0</v>
      </c>
      <c r="J28" s="24">
        <f t="shared" si="6"/>
        <v>0</v>
      </c>
      <c r="K28" s="24">
        <f t="shared" si="6"/>
        <v>0</v>
      </c>
      <c r="L28" s="24">
        <f t="shared" si="6"/>
        <v>0</v>
      </c>
      <c r="M28" s="24">
        <f t="shared" si="6"/>
        <v>0</v>
      </c>
      <c r="N28" s="24">
        <f t="shared" si="6"/>
        <v>0</v>
      </c>
      <c r="O28" s="24">
        <f t="shared" si="6"/>
        <v>0</v>
      </c>
      <c r="P28" s="24">
        <f t="shared" si="6"/>
        <v>0</v>
      </c>
      <c r="Q28" s="24">
        <f t="shared" si="6"/>
        <v>0</v>
      </c>
      <c r="R28" s="24">
        <f t="shared" si="6"/>
        <v>0</v>
      </c>
      <c r="S28" s="25">
        <f t="shared" si="4"/>
        <v>0</v>
      </c>
      <c r="T28" s="25">
        <f t="shared" si="4"/>
        <v>0</v>
      </c>
      <c r="U28" s="25">
        <f t="shared" si="4"/>
        <v>0</v>
      </c>
      <c r="V28" s="25">
        <f t="shared" si="4"/>
        <v>0</v>
      </c>
      <c r="W28" s="25">
        <f t="shared" si="4"/>
        <v>0</v>
      </c>
      <c r="X28" s="25">
        <f t="shared" si="4"/>
        <v>0</v>
      </c>
      <c r="Y28" s="25">
        <f t="shared" si="4"/>
        <v>0</v>
      </c>
      <c r="Z28" s="25">
        <f t="shared" si="4"/>
        <v>0</v>
      </c>
      <c r="AA28" s="25">
        <f t="shared" si="4"/>
        <v>0</v>
      </c>
      <c r="AB28" s="25">
        <f t="shared" si="4"/>
        <v>0</v>
      </c>
      <c r="AC28" s="25">
        <f t="shared" si="4"/>
        <v>0</v>
      </c>
      <c r="AD28" s="25">
        <f t="shared" si="4"/>
        <v>0</v>
      </c>
      <c r="AE28" s="24">
        <f t="shared" si="5"/>
        <v>0</v>
      </c>
      <c r="AF28" s="24">
        <f t="shared" si="5"/>
        <v>0</v>
      </c>
      <c r="AG28" s="24">
        <f t="shared" si="5"/>
        <v>0</v>
      </c>
      <c r="AH28" s="24">
        <f t="shared" si="5"/>
        <v>0</v>
      </c>
      <c r="AI28" s="24">
        <f t="shared" si="5"/>
        <v>0</v>
      </c>
      <c r="AJ28" s="24">
        <f t="shared" si="5"/>
        <v>0</v>
      </c>
      <c r="AK28" s="24">
        <f t="shared" si="5"/>
        <v>0</v>
      </c>
      <c r="AL28" s="24">
        <f t="shared" si="5"/>
        <v>0</v>
      </c>
      <c r="AM28" s="24">
        <f t="shared" si="5"/>
        <v>0</v>
      </c>
      <c r="AN28" s="24">
        <f t="shared" si="5"/>
        <v>0</v>
      </c>
      <c r="AO28" s="24">
        <f t="shared" si="5"/>
        <v>0</v>
      </c>
      <c r="AP28" s="24">
        <f t="shared" si="5"/>
        <v>0</v>
      </c>
      <c r="AQ28" s="21">
        <f>+Catálogo!E35</f>
        <v>0</v>
      </c>
      <c r="AR28" s="21">
        <f>+Catálogo!E53</f>
        <v>0</v>
      </c>
    </row>
    <row r="29" spans="1:44" hidden="1" outlineLevel="1">
      <c r="A29" s="22">
        <f t="shared" si="2"/>
        <v>0</v>
      </c>
      <c r="B29" s="23">
        <f>+Catálogo!E17</f>
        <v>0</v>
      </c>
      <c r="G29" s="24">
        <f t="shared" si="6"/>
        <v>0</v>
      </c>
      <c r="H29" s="24">
        <f t="shared" si="6"/>
        <v>0</v>
      </c>
      <c r="I29" s="24">
        <f t="shared" si="6"/>
        <v>0</v>
      </c>
      <c r="J29" s="24">
        <f t="shared" si="6"/>
        <v>0</v>
      </c>
      <c r="K29" s="24">
        <f t="shared" si="6"/>
        <v>0</v>
      </c>
      <c r="L29" s="24">
        <f t="shared" si="6"/>
        <v>0</v>
      </c>
      <c r="M29" s="24">
        <f t="shared" si="6"/>
        <v>0</v>
      </c>
      <c r="N29" s="24">
        <f t="shared" si="6"/>
        <v>0</v>
      </c>
      <c r="O29" s="24">
        <f t="shared" si="6"/>
        <v>0</v>
      </c>
      <c r="P29" s="24">
        <f t="shared" si="6"/>
        <v>0</v>
      </c>
      <c r="Q29" s="24">
        <f t="shared" si="6"/>
        <v>0</v>
      </c>
      <c r="R29" s="24">
        <f t="shared" si="6"/>
        <v>0</v>
      </c>
      <c r="S29" s="25">
        <f t="shared" si="4"/>
        <v>0</v>
      </c>
      <c r="T29" s="25">
        <f t="shared" si="4"/>
        <v>0</v>
      </c>
      <c r="U29" s="25">
        <f t="shared" si="4"/>
        <v>0</v>
      </c>
      <c r="V29" s="25">
        <f t="shared" si="4"/>
        <v>0</v>
      </c>
      <c r="W29" s="25">
        <f t="shared" si="4"/>
        <v>0</v>
      </c>
      <c r="X29" s="25">
        <f t="shared" si="4"/>
        <v>0</v>
      </c>
      <c r="Y29" s="25">
        <f t="shared" si="4"/>
        <v>0</v>
      </c>
      <c r="Z29" s="25">
        <f t="shared" si="4"/>
        <v>0</v>
      </c>
      <c r="AA29" s="25">
        <f t="shared" si="4"/>
        <v>0</v>
      </c>
      <c r="AB29" s="25">
        <f t="shared" si="4"/>
        <v>0</v>
      </c>
      <c r="AC29" s="25">
        <f t="shared" si="4"/>
        <v>0</v>
      </c>
      <c r="AD29" s="25">
        <f t="shared" si="4"/>
        <v>0</v>
      </c>
      <c r="AE29" s="24">
        <f t="shared" si="5"/>
        <v>0</v>
      </c>
      <c r="AF29" s="24">
        <f t="shared" si="5"/>
        <v>0</v>
      </c>
      <c r="AG29" s="24">
        <f t="shared" si="5"/>
        <v>0</v>
      </c>
      <c r="AH29" s="24">
        <f t="shared" si="5"/>
        <v>0</v>
      </c>
      <c r="AI29" s="24">
        <f t="shared" si="5"/>
        <v>0</v>
      </c>
      <c r="AJ29" s="24">
        <f t="shared" si="5"/>
        <v>0</v>
      </c>
      <c r="AK29" s="24">
        <f t="shared" si="5"/>
        <v>0</v>
      </c>
      <c r="AL29" s="24">
        <f t="shared" si="5"/>
        <v>0</v>
      </c>
      <c r="AM29" s="24">
        <f t="shared" si="5"/>
        <v>0</v>
      </c>
      <c r="AN29" s="24">
        <f t="shared" si="5"/>
        <v>0</v>
      </c>
      <c r="AO29" s="24">
        <f t="shared" si="5"/>
        <v>0</v>
      </c>
      <c r="AP29" s="24">
        <f t="shared" si="5"/>
        <v>0</v>
      </c>
      <c r="AQ29" s="21">
        <f>+Catálogo!E36</f>
        <v>0</v>
      </c>
      <c r="AR29" s="21">
        <f>+Catálogo!E54</f>
        <v>0</v>
      </c>
    </row>
    <row r="30" spans="1:44" hidden="1" outlineLevel="1">
      <c r="A30" s="22">
        <f t="shared" si="2"/>
        <v>0</v>
      </c>
      <c r="B30" s="23">
        <f>+Catálogo!E18</f>
        <v>0</v>
      </c>
      <c r="G30" s="24">
        <f t="shared" si="6"/>
        <v>0</v>
      </c>
      <c r="H30" s="24">
        <f t="shared" si="6"/>
        <v>0</v>
      </c>
      <c r="I30" s="24">
        <f t="shared" si="6"/>
        <v>0</v>
      </c>
      <c r="J30" s="24">
        <f t="shared" si="6"/>
        <v>0</v>
      </c>
      <c r="K30" s="24">
        <f t="shared" si="6"/>
        <v>0</v>
      </c>
      <c r="L30" s="24">
        <f t="shared" si="6"/>
        <v>0</v>
      </c>
      <c r="M30" s="24">
        <f t="shared" si="6"/>
        <v>0</v>
      </c>
      <c r="N30" s="24">
        <f t="shared" si="6"/>
        <v>0</v>
      </c>
      <c r="O30" s="24">
        <f t="shared" si="6"/>
        <v>0</v>
      </c>
      <c r="P30" s="24">
        <f t="shared" si="6"/>
        <v>0</v>
      </c>
      <c r="Q30" s="24">
        <f t="shared" si="6"/>
        <v>0</v>
      </c>
      <c r="R30" s="24">
        <f t="shared" si="6"/>
        <v>0</v>
      </c>
      <c r="S30" s="25">
        <f t="shared" si="4"/>
        <v>0</v>
      </c>
      <c r="T30" s="25">
        <f t="shared" si="4"/>
        <v>0</v>
      </c>
      <c r="U30" s="25">
        <f t="shared" si="4"/>
        <v>0</v>
      </c>
      <c r="V30" s="25">
        <f t="shared" si="4"/>
        <v>0</v>
      </c>
      <c r="W30" s="25">
        <f t="shared" si="4"/>
        <v>0</v>
      </c>
      <c r="X30" s="25">
        <f t="shared" si="4"/>
        <v>0</v>
      </c>
      <c r="Y30" s="25">
        <f t="shared" si="4"/>
        <v>0</v>
      </c>
      <c r="Z30" s="25">
        <f t="shared" si="4"/>
        <v>0</v>
      </c>
      <c r="AA30" s="25">
        <f t="shared" si="4"/>
        <v>0</v>
      </c>
      <c r="AB30" s="25">
        <f t="shared" si="4"/>
        <v>0</v>
      </c>
      <c r="AC30" s="25">
        <f t="shared" si="4"/>
        <v>0</v>
      </c>
      <c r="AD30" s="25">
        <f t="shared" si="4"/>
        <v>0</v>
      </c>
      <c r="AE30" s="24">
        <f t="shared" si="5"/>
        <v>0</v>
      </c>
      <c r="AF30" s="24">
        <f t="shared" si="5"/>
        <v>0</v>
      </c>
      <c r="AG30" s="24">
        <f t="shared" si="5"/>
        <v>0</v>
      </c>
      <c r="AH30" s="24">
        <f t="shared" si="5"/>
        <v>0</v>
      </c>
      <c r="AI30" s="24">
        <f t="shared" si="5"/>
        <v>0</v>
      </c>
      <c r="AJ30" s="24">
        <f t="shared" si="5"/>
        <v>0</v>
      </c>
      <c r="AK30" s="24">
        <f t="shared" si="5"/>
        <v>0</v>
      </c>
      <c r="AL30" s="24">
        <f t="shared" si="5"/>
        <v>0</v>
      </c>
      <c r="AM30" s="24">
        <f t="shared" si="5"/>
        <v>0</v>
      </c>
      <c r="AN30" s="24">
        <f t="shared" si="5"/>
        <v>0</v>
      </c>
      <c r="AO30" s="24">
        <f t="shared" si="5"/>
        <v>0</v>
      </c>
      <c r="AP30" s="24">
        <f t="shared" si="5"/>
        <v>0</v>
      </c>
      <c r="AQ30" s="21">
        <f>+Catálogo!E37</f>
        <v>0</v>
      </c>
      <c r="AR30" s="21">
        <f>+Catálogo!E55</f>
        <v>0</v>
      </c>
    </row>
    <row r="31" spans="1:44" hidden="1" outlineLevel="1">
      <c r="A31" s="22">
        <f t="shared" si="2"/>
        <v>0</v>
      </c>
      <c r="B31" s="23">
        <f>+Catálogo!E19</f>
        <v>0</v>
      </c>
      <c r="G31" s="24">
        <f t="shared" si="6"/>
        <v>0</v>
      </c>
      <c r="H31" s="24">
        <f t="shared" si="6"/>
        <v>0</v>
      </c>
      <c r="I31" s="24">
        <f t="shared" si="6"/>
        <v>0</v>
      </c>
      <c r="J31" s="24">
        <f t="shared" si="6"/>
        <v>0</v>
      </c>
      <c r="K31" s="24">
        <f t="shared" si="6"/>
        <v>0</v>
      </c>
      <c r="L31" s="24">
        <f t="shared" si="6"/>
        <v>0</v>
      </c>
      <c r="M31" s="24">
        <f t="shared" si="6"/>
        <v>0</v>
      </c>
      <c r="N31" s="24">
        <f t="shared" si="6"/>
        <v>0</v>
      </c>
      <c r="O31" s="24">
        <f t="shared" si="6"/>
        <v>0</v>
      </c>
      <c r="P31" s="24">
        <f t="shared" si="6"/>
        <v>0</v>
      </c>
      <c r="Q31" s="24">
        <f t="shared" si="6"/>
        <v>0</v>
      </c>
      <c r="R31" s="24">
        <f t="shared" si="6"/>
        <v>0</v>
      </c>
      <c r="S31" s="25">
        <f t="shared" si="4"/>
        <v>0</v>
      </c>
      <c r="T31" s="25">
        <f t="shared" si="4"/>
        <v>0</v>
      </c>
      <c r="U31" s="25">
        <f t="shared" si="4"/>
        <v>0</v>
      </c>
      <c r="V31" s="25">
        <f t="shared" si="4"/>
        <v>0</v>
      </c>
      <c r="W31" s="25">
        <f t="shared" si="4"/>
        <v>0</v>
      </c>
      <c r="X31" s="25">
        <f t="shared" si="4"/>
        <v>0</v>
      </c>
      <c r="Y31" s="25">
        <f t="shared" si="4"/>
        <v>0</v>
      </c>
      <c r="Z31" s="25">
        <f t="shared" si="4"/>
        <v>0</v>
      </c>
      <c r="AA31" s="25">
        <f t="shared" si="4"/>
        <v>0</v>
      </c>
      <c r="AB31" s="25">
        <f t="shared" si="4"/>
        <v>0</v>
      </c>
      <c r="AC31" s="25">
        <f t="shared" si="4"/>
        <v>0</v>
      </c>
      <c r="AD31" s="25">
        <f t="shared" si="4"/>
        <v>0</v>
      </c>
      <c r="AE31" s="24">
        <f t="shared" si="5"/>
        <v>0</v>
      </c>
      <c r="AF31" s="24">
        <f t="shared" si="5"/>
        <v>0</v>
      </c>
      <c r="AG31" s="24">
        <f t="shared" si="5"/>
        <v>0</v>
      </c>
      <c r="AH31" s="24">
        <f t="shared" si="5"/>
        <v>0</v>
      </c>
      <c r="AI31" s="24">
        <f t="shared" si="5"/>
        <v>0</v>
      </c>
      <c r="AJ31" s="24">
        <f t="shared" si="5"/>
        <v>0</v>
      </c>
      <c r="AK31" s="24">
        <f t="shared" si="5"/>
        <v>0</v>
      </c>
      <c r="AL31" s="24">
        <f t="shared" si="5"/>
        <v>0</v>
      </c>
      <c r="AM31" s="24">
        <f t="shared" si="5"/>
        <v>0</v>
      </c>
      <c r="AN31" s="24">
        <f t="shared" si="5"/>
        <v>0</v>
      </c>
      <c r="AO31" s="24">
        <f t="shared" si="5"/>
        <v>0</v>
      </c>
      <c r="AP31" s="24">
        <f t="shared" si="5"/>
        <v>0</v>
      </c>
      <c r="AQ31" s="21">
        <f>+Catálogo!E38</f>
        <v>0</v>
      </c>
      <c r="AR31" s="21">
        <f>+Catálogo!E56</f>
        <v>0</v>
      </c>
    </row>
    <row r="32" spans="1:44" hidden="1" outlineLevel="1">
      <c r="A32" s="22">
        <f t="shared" si="2"/>
        <v>0</v>
      </c>
      <c r="B32" s="23">
        <f>+Catálogo!E20</f>
        <v>0</v>
      </c>
      <c r="G32" s="24">
        <f t="shared" si="6"/>
        <v>0</v>
      </c>
      <c r="H32" s="24">
        <f t="shared" si="6"/>
        <v>0</v>
      </c>
      <c r="I32" s="24">
        <f t="shared" si="6"/>
        <v>0</v>
      </c>
      <c r="J32" s="24">
        <f t="shared" si="6"/>
        <v>0</v>
      </c>
      <c r="K32" s="24">
        <f t="shared" si="6"/>
        <v>0</v>
      </c>
      <c r="L32" s="24">
        <f t="shared" si="6"/>
        <v>0</v>
      </c>
      <c r="M32" s="24">
        <f t="shared" si="6"/>
        <v>0</v>
      </c>
      <c r="N32" s="24">
        <f t="shared" si="6"/>
        <v>0</v>
      </c>
      <c r="O32" s="24">
        <f t="shared" si="6"/>
        <v>0</v>
      </c>
      <c r="P32" s="24">
        <f t="shared" si="6"/>
        <v>0</v>
      </c>
      <c r="Q32" s="24">
        <f t="shared" si="6"/>
        <v>0</v>
      </c>
      <c r="R32" s="24">
        <f t="shared" si="6"/>
        <v>0</v>
      </c>
      <c r="S32" s="25">
        <f t="shared" si="4"/>
        <v>0</v>
      </c>
      <c r="T32" s="25">
        <f t="shared" si="4"/>
        <v>0</v>
      </c>
      <c r="U32" s="25">
        <f t="shared" si="4"/>
        <v>0</v>
      </c>
      <c r="V32" s="25">
        <f t="shared" si="4"/>
        <v>0</v>
      </c>
      <c r="W32" s="25">
        <f t="shared" si="4"/>
        <v>0</v>
      </c>
      <c r="X32" s="25">
        <f t="shared" si="4"/>
        <v>0</v>
      </c>
      <c r="Y32" s="25">
        <f t="shared" si="4"/>
        <v>0</v>
      </c>
      <c r="Z32" s="25">
        <f t="shared" si="4"/>
        <v>0</v>
      </c>
      <c r="AA32" s="25">
        <f t="shared" si="4"/>
        <v>0</v>
      </c>
      <c r="AB32" s="25">
        <f t="shared" si="4"/>
        <v>0</v>
      </c>
      <c r="AC32" s="25">
        <f t="shared" si="4"/>
        <v>0</v>
      </c>
      <c r="AD32" s="25">
        <f t="shared" si="4"/>
        <v>0</v>
      </c>
      <c r="AE32" s="24">
        <f t="shared" si="5"/>
        <v>0</v>
      </c>
      <c r="AF32" s="24">
        <f t="shared" si="5"/>
        <v>0</v>
      </c>
      <c r="AG32" s="24">
        <f t="shared" si="5"/>
        <v>0</v>
      </c>
      <c r="AH32" s="24">
        <f t="shared" si="5"/>
        <v>0</v>
      </c>
      <c r="AI32" s="24">
        <f t="shared" si="5"/>
        <v>0</v>
      </c>
      <c r="AJ32" s="24">
        <f t="shared" si="5"/>
        <v>0</v>
      </c>
      <c r="AK32" s="24">
        <f t="shared" si="5"/>
        <v>0</v>
      </c>
      <c r="AL32" s="24">
        <f t="shared" si="5"/>
        <v>0</v>
      </c>
      <c r="AM32" s="24">
        <f t="shared" si="5"/>
        <v>0</v>
      </c>
      <c r="AN32" s="24">
        <f t="shared" si="5"/>
        <v>0</v>
      </c>
      <c r="AO32" s="24">
        <f t="shared" si="5"/>
        <v>0</v>
      </c>
      <c r="AP32" s="24">
        <f t="shared" si="5"/>
        <v>0</v>
      </c>
      <c r="AQ32" s="21">
        <f>+Catálogo!E39</f>
        <v>0</v>
      </c>
      <c r="AR32" s="21">
        <f>+Catálogo!E57</f>
        <v>0</v>
      </c>
    </row>
    <row r="33" spans="1:42" collapsed="1">
      <c r="A33" s="26" t="s">
        <v>573</v>
      </c>
      <c r="B33" s="29"/>
      <c r="C33" s="26"/>
      <c r="D33" s="26"/>
      <c r="E33" s="26"/>
      <c r="F33" s="26"/>
      <c r="G33" s="27">
        <f>SUM(G18:G32)</f>
        <v>0</v>
      </c>
      <c r="H33" s="27">
        <f t="shared" ref="H33:AP33" si="7">SUM(H18:H32)</f>
        <v>0</v>
      </c>
      <c r="I33" s="27">
        <f t="shared" si="7"/>
        <v>0</v>
      </c>
      <c r="J33" s="27">
        <f t="shared" si="7"/>
        <v>0</v>
      </c>
      <c r="K33" s="27">
        <f t="shared" si="7"/>
        <v>0</v>
      </c>
      <c r="L33" s="27">
        <f t="shared" si="7"/>
        <v>0</v>
      </c>
      <c r="M33" s="27">
        <f t="shared" si="7"/>
        <v>0</v>
      </c>
      <c r="N33" s="27">
        <f t="shared" si="7"/>
        <v>0</v>
      </c>
      <c r="O33" s="27">
        <f t="shared" si="7"/>
        <v>0</v>
      </c>
      <c r="P33" s="27">
        <f t="shared" si="7"/>
        <v>0</v>
      </c>
      <c r="Q33" s="27">
        <f t="shared" si="7"/>
        <v>0</v>
      </c>
      <c r="R33" s="27">
        <f t="shared" si="7"/>
        <v>0</v>
      </c>
      <c r="S33" s="28">
        <f t="shared" si="7"/>
        <v>0</v>
      </c>
      <c r="T33" s="28">
        <f t="shared" si="7"/>
        <v>0</v>
      </c>
      <c r="U33" s="28">
        <f t="shared" si="7"/>
        <v>0</v>
      </c>
      <c r="V33" s="28">
        <f t="shared" si="7"/>
        <v>0</v>
      </c>
      <c r="W33" s="28">
        <f t="shared" si="7"/>
        <v>0</v>
      </c>
      <c r="X33" s="28">
        <f t="shared" si="7"/>
        <v>0</v>
      </c>
      <c r="Y33" s="28">
        <f t="shared" si="7"/>
        <v>0</v>
      </c>
      <c r="Z33" s="28">
        <f t="shared" si="7"/>
        <v>0</v>
      </c>
      <c r="AA33" s="28">
        <f t="shared" si="7"/>
        <v>0</v>
      </c>
      <c r="AB33" s="28">
        <f t="shared" si="7"/>
        <v>0</v>
      </c>
      <c r="AC33" s="28">
        <f t="shared" si="7"/>
        <v>0</v>
      </c>
      <c r="AD33" s="28">
        <f t="shared" si="7"/>
        <v>0</v>
      </c>
      <c r="AE33" s="27">
        <f t="shared" si="7"/>
        <v>0</v>
      </c>
      <c r="AF33" s="27">
        <f t="shared" si="7"/>
        <v>0</v>
      </c>
      <c r="AG33" s="27">
        <f t="shared" si="7"/>
        <v>0</v>
      </c>
      <c r="AH33" s="27">
        <f t="shared" si="7"/>
        <v>0</v>
      </c>
      <c r="AI33" s="27">
        <f t="shared" si="7"/>
        <v>0</v>
      </c>
      <c r="AJ33" s="27">
        <f t="shared" si="7"/>
        <v>0</v>
      </c>
      <c r="AK33" s="27">
        <f t="shared" si="7"/>
        <v>0</v>
      </c>
      <c r="AL33" s="27">
        <f t="shared" si="7"/>
        <v>0</v>
      </c>
      <c r="AM33" s="27">
        <f t="shared" si="7"/>
        <v>0</v>
      </c>
      <c r="AN33" s="27">
        <f t="shared" si="7"/>
        <v>0</v>
      </c>
      <c r="AO33" s="27">
        <f t="shared" si="7"/>
        <v>0</v>
      </c>
      <c r="AP33" s="27">
        <f t="shared" si="7"/>
        <v>0</v>
      </c>
    </row>
    <row r="34" spans="1:42" hidden="1" outlineLevel="1">
      <c r="A34" s="22">
        <f t="shared" ref="A34:A48" si="8">+A2</f>
        <v>0</v>
      </c>
      <c r="B34" s="30">
        <f>IF(Cuestionario!$C$70="SI",0,+Catálogo!D6)</f>
        <v>0</v>
      </c>
      <c r="G34" s="24">
        <f t="shared" ref="G34:AP41" si="9">$B34*G2</f>
        <v>0</v>
      </c>
      <c r="H34" s="24">
        <f t="shared" si="9"/>
        <v>0</v>
      </c>
      <c r="I34" s="24">
        <f t="shared" si="9"/>
        <v>0</v>
      </c>
      <c r="J34" s="24">
        <f t="shared" si="9"/>
        <v>0</v>
      </c>
      <c r="K34" s="24">
        <f t="shared" si="9"/>
        <v>0</v>
      </c>
      <c r="L34" s="24">
        <f t="shared" si="9"/>
        <v>0</v>
      </c>
      <c r="M34" s="24">
        <f t="shared" si="9"/>
        <v>0</v>
      </c>
      <c r="N34" s="24">
        <f t="shared" si="9"/>
        <v>0</v>
      </c>
      <c r="O34" s="24">
        <f t="shared" si="9"/>
        <v>0</v>
      </c>
      <c r="P34" s="24">
        <f t="shared" si="9"/>
        <v>0</v>
      </c>
      <c r="Q34" s="24">
        <f t="shared" si="9"/>
        <v>0</v>
      </c>
      <c r="R34" s="24">
        <f t="shared" si="9"/>
        <v>0</v>
      </c>
      <c r="S34" s="25">
        <f t="shared" si="9"/>
        <v>0</v>
      </c>
      <c r="T34" s="25">
        <f t="shared" si="9"/>
        <v>0</v>
      </c>
      <c r="U34" s="25">
        <f t="shared" si="9"/>
        <v>0</v>
      </c>
      <c r="V34" s="25">
        <f t="shared" si="9"/>
        <v>0</v>
      </c>
      <c r="W34" s="25">
        <f t="shared" si="9"/>
        <v>0</v>
      </c>
      <c r="X34" s="25">
        <f t="shared" si="9"/>
        <v>0</v>
      </c>
      <c r="Y34" s="25">
        <f t="shared" si="9"/>
        <v>0</v>
      </c>
      <c r="Z34" s="25">
        <f t="shared" si="9"/>
        <v>0</v>
      </c>
      <c r="AA34" s="25">
        <f t="shared" si="9"/>
        <v>0</v>
      </c>
      <c r="AB34" s="25">
        <f t="shared" si="9"/>
        <v>0</v>
      </c>
      <c r="AC34" s="25">
        <f t="shared" si="9"/>
        <v>0</v>
      </c>
      <c r="AD34" s="25">
        <f t="shared" si="9"/>
        <v>0</v>
      </c>
      <c r="AE34" s="24">
        <f t="shared" si="9"/>
        <v>0</v>
      </c>
      <c r="AF34" s="24">
        <f t="shared" si="9"/>
        <v>0</v>
      </c>
      <c r="AG34" s="24">
        <f t="shared" si="9"/>
        <v>0</v>
      </c>
      <c r="AH34" s="24">
        <f t="shared" si="9"/>
        <v>0</v>
      </c>
      <c r="AI34" s="24">
        <f t="shared" si="9"/>
        <v>0</v>
      </c>
      <c r="AJ34" s="24">
        <f t="shared" si="9"/>
        <v>0</v>
      </c>
      <c r="AK34" s="24">
        <f t="shared" si="9"/>
        <v>0</v>
      </c>
      <c r="AL34" s="24">
        <f t="shared" si="9"/>
        <v>0</v>
      </c>
      <c r="AM34" s="24">
        <f t="shared" si="9"/>
        <v>0</v>
      </c>
      <c r="AN34" s="24">
        <f t="shared" si="9"/>
        <v>0</v>
      </c>
      <c r="AO34" s="24">
        <f t="shared" si="9"/>
        <v>0</v>
      </c>
      <c r="AP34" s="24">
        <f t="shared" si="9"/>
        <v>0</v>
      </c>
    </row>
    <row r="35" spans="1:42" hidden="1" outlineLevel="1">
      <c r="A35" s="22">
        <f t="shared" si="8"/>
        <v>0</v>
      </c>
      <c r="B35" s="30">
        <f>IF(Cuestionario!$C$70="SI",0,+Catálogo!D7)</f>
        <v>0</v>
      </c>
      <c r="G35" s="24">
        <f t="shared" si="9"/>
        <v>0</v>
      </c>
      <c r="H35" s="24">
        <f t="shared" si="9"/>
        <v>0</v>
      </c>
      <c r="I35" s="24">
        <f t="shared" si="9"/>
        <v>0</v>
      </c>
      <c r="J35" s="24">
        <f t="shared" si="9"/>
        <v>0</v>
      </c>
      <c r="K35" s="24">
        <f t="shared" si="9"/>
        <v>0</v>
      </c>
      <c r="L35" s="24">
        <f t="shared" si="9"/>
        <v>0</v>
      </c>
      <c r="M35" s="24">
        <f t="shared" si="9"/>
        <v>0</v>
      </c>
      <c r="N35" s="24">
        <f t="shared" si="9"/>
        <v>0</v>
      </c>
      <c r="O35" s="24">
        <f t="shared" si="9"/>
        <v>0</v>
      </c>
      <c r="P35" s="24">
        <f t="shared" si="9"/>
        <v>0</v>
      </c>
      <c r="Q35" s="24">
        <f t="shared" si="9"/>
        <v>0</v>
      </c>
      <c r="R35" s="24">
        <f t="shared" si="9"/>
        <v>0</v>
      </c>
      <c r="S35" s="25">
        <f t="shared" si="9"/>
        <v>0</v>
      </c>
      <c r="T35" s="25">
        <f t="shared" si="9"/>
        <v>0</v>
      </c>
      <c r="U35" s="25">
        <f t="shared" si="9"/>
        <v>0</v>
      </c>
      <c r="V35" s="25">
        <f t="shared" si="9"/>
        <v>0</v>
      </c>
      <c r="W35" s="25">
        <f t="shared" si="9"/>
        <v>0</v>
      </c>
      <c r="X35" s="25">
        <f t="shared" si="9"/>
        <v>0</v>
      </c>
      <c r="Y35" s="25">
        <f t="shared" si="9"/>
        <v>0</v>
      </c>
      <c r="Z35" s="25">
        <f t="shared" si="9"/>
        <v>0</v>
      </c>
      <c r="AA35" s="25">
        <f t="shared" si="9"/>
        <v>0</v>
      </c>
      <c r="AB35" s="25">
        <f t="shared" si="9"/>
        <v>0</v>
      </c>
      <c r="AC35" s="25">
        <f t="shared" si="9"/>
        <v>0</v>
      </c>
      <c r="AD35" s="25">
        <f t="shared" si="9"/>
        <v>0</v>
      </c>
      <c r="AE35" s="24">
        <f t="shared" si="9"/>
        <v>0</v>
      </c>
      <c r="AF35" s="24">
        <f t="shared" si="9"/>
        <v>0</v>
      </c>
      <c r="AG35" s="24">
        <f t="shared" si="9"/>
        <v>0</v>
      </c>
      <c r="AH35" s="24">
        <f t="shared" si="9"/>
        <v>0</v>
      </c>
      <c r="AI35" s="24">
        <f t="shared" si="9"/>
        <v>0</v>
      </c>
      <c r="AJ35" s="24">
        <f t="shared" si="9"/>
        <v>0</v>
      </c>
      <c r="AK35" s="24">
        <f t="shared" si="9"/>
        <v>0</v>
      </c>
      <c r="AL35" s="24">
        <f t="shared" si="9"/>
        <v>0</v>
      </c>
      <c r="AM35" s="24">
        <f t="shared" si="9"/>
        <v>0</v>
      </c>
      <c r="AN35" s="24">
        <f t="shared" si="9"/>
        <v>0</v>
      </c>
      <c r="AO35" s="24">
        <f t="shared" si="9"/>
        <v>0</v>
      </c>
      <c r="AP35" s="24">
        <f t="shared" si="9"/>
        <v>0</v>
      </c>
    </row>
    <row r="36" spans="1:42" hidden="1" outlineLevel="1">
      <c r="A36" s="22">
        <f t="shared" si="8"/>
        <v>0</v>
      </c>
      <c r="B36" s="30">
        <f>IF(Cuestionario!$C$70="SI",0,+Catálogo!D8)</f>
        <v>0</v>
      </c>
      <c r="G36" s="24">
        <f t="shared" si="9"/>
        <v>0</v>
      </c>
      <c r="H36" s="24">
        <f t="shared" si="9"/>
        <v>0</v>
      </c>
      <c r="I36" s="24">
        <f t="shared" si="9"/>
        <v>0</v>
      </c>
      <c r="J36" s="24">
        <f t="shared" si="9"/>
        <v>0</v>
      </c>
      <c r="K36" s="24">
        <f t="shared" si="9"/>
        <v>0</v>
      </c>
      <c r="L36" s="24">
        <f t="shared" si="9"/>
        <v>0</v>
      </c>
      <c r="M36" s="24">
        <f t="shared" si="9"/>
        <v>0</v>
      </c>
      <c r="N36" s="24">
        <f t="shared" si="9"/>
        <v>0</v>
      </c>
      <c r="O36" s="24">
        <f t="shared" si="9"/>
        <v>0</v>
      </c>
      <c r="P36" s="24">
        <f t="shared" si="9"/>
        <v>0</v>
      </c>
      <c r="Q36" s="24">
        <f t="shared" si="9"/>
        <v>0</v>
      </c>
      <c r="R36" s="24">
        <f t="shared" si="9"/>
        <v>0</v>
      </c>
      <c r="S36" s="25">
        <f t="shared" si="9"/>
        <v>0</v>
      </c>
      <c r="T36" s="25">
        <f t="shared" si="9"/>
        <v>0</v>
      </c>
      <c r="U36" s="25">
        <f t="shared" si="9"/>
        <v>0</v>
      </c>
      <c r="V36" s="25">
        <f t="shared" si="9"/>
        <v>0</v>
      </c>
      <c r="W36" s="25">
        <f t="shared" si="9"/>
        <v>0</v>
      </c>
      <c r="X36" s="25">
        <f t="shared" si="9"/>
        <v>0</v>
      </c>
      <c r="Y36" s="25">
        <f t="shared" si="9"/>
        <v>0</v>
      </c>
      <c r="Z36" s="25">
        <f t="shared" si="9"/>
        <v>0</v>
      </c>
      <c r="AA36" s="25">
        <f t="shared" si="9"/>
        <v>0</v>
      </c>
      <c r="AB36" s="25">
        <f t="shared" si="9"/>
        <v>0</v>
      </c>
      <c r="AC36" s="25">
        <f t="shared" si="9"/>
        <v>0</v>
      </c>
      <c r="AD36" s="25">
        <f t="shared" si="9"/>
        <v>0</v>
      </c>
      <c r="AE36" s="24">
        <f t="shared" si="9"/>
        <v>0</v>
      </c>
      <c r="AF36" s="24">
        <f t="shared" si="9"/>
        <v>0</v>
      </c>
      <c r="AG36" s="24">
        <f t="shared" si="9"/>
        <v>0</v>
      </c>
      <c r="AH36" s="24">
        <f t="shared" si="9"/>
        <v>0</v>
      </c>
      <c r="AI36" s="24">
        <f t="shared" si="9"/>
        <v>0</v>
      </c>
      <c r="AJ36" s="24">
        <f t="shared" si="9"/>
        <v>0</v>
      </c>
      <c r="AK36" s="24">
        <f t="shared" si="9"/>
        <v>0</v>
      </c>
      <c r="AL36" s="24">
        <f t="shared" si="9"/>
        <v>0</v>
      </c>
      <c r="AM36" s="24">
        <f t="shared" si="9"/>
        <v>0</v>
      </c>
      <c r="AN36" s="24">
        <f t="shared" si="9"/>
        <v>0</v>
      </c>
      <c r="AO36" s="24">
        <f t="shared" si="9"/>
        <v>0</v>
      </c>
      <c r="AP36" s="24">
        <f t="shared" si="9"/>
        <v>0</v>
      </c>
    </row>
    <row r="37" spans="1:42" hidden="1" outlineLevel="1">
      <c r="A37" s="22">
        <f t="shared" si="8"/>
        <v>0</v>
      </c>
      <c r="B37" s="30">
        <f>IF(Cuestionario!$C$70="SI",0,+Catálogo!D9)</f>
        <v>0</v>
      </c>
      <c r="G37" s="24">
        <f t="shared" si="9"/>
        <v>0</v>
      </c>
      <c r="H37" s="24">
        <f t="shared" si="9"/>
        <v>0</v>
      </c>
      <c r="I37" s="24">
        <f t="shared" si="9"/>
        <v>0</v>
      </c>
      <c r="J37" s="24">
        <f t="shared" si="9"/>
        <v>0</v>
      </c>
      <c r="K37" s="24">
        <f t="shared" si="9"/>
        <v>0</v>
      </c>
      <c r="L37" s="24">
        <f t="shared" si="9"/>
        <v>0</v>
      </c>
      <c r="M37" s="24">
        <f t="shared" si="9"/>
        <v>0</v>
      </c>
      <c r="N37" s="24">
        <f t="shared" si="9"/>
        <v>0</v>
      </c>
      <c r="O37" s="24">
        <f t="shared" si="9"/>
        <v>0</v>
      </c>
      <c r="P37" s="24">
        <f t="shared" si="9"/>
        <v>0</v>
      </c>
      <c r="Q37" s="24">
        <f t="shared" si="9"/>
        <v>0</v>
      </c>
      <c r="R37" s="24">
        <f t="shared" si="9"/>
        <v>0</v>
      </c>
      <c r="S37" s="25">
        <f t="shared" si="9"/>
        <v>0</v>
      </c>
      <c r="T37" s="25">
        <f t="shared" si="9"/>
        <v>0</v>
      </c>
      <c r="U37" s="25">
        <f t="shared" si="9"/>
        <v>0</v>
      </c>
      <c r="V37" s="25">
        <f t="shared" si="9"/>
        <v>0</v>
      </c>
      <c r="W37" s="25">
        <f t="shared" si="9"/>
        <v>0</v>
      </c>
      <c r="X37" s="25">
        <f t="shared" si="9"/>
        <v>0</v>
      </c>
      <c r="Y37" s="25">
        <f t="shared" si="9"/>
        <v>0</v>
      </c>
      <c r="Z37" s="25">
        <f t="shared" si="9"/>
        <v>0</v>
      </c>
      <c r="AA37" s="25">
        <f t="shared" si="9"/>
        <v>0</v>
      </c>
      <c r="AB37" s="25">
        <f t="shared" si="9"/>
        <v>0</v>
      </c>
      <c r="AC37" s="25">
        <f t="shared" si="9"/>
        <v>0</v>
      </c>
      <c r="AD37" s="25">
        <f t="shared" si="9"/>
        <v>0</v>
      </c>
      <c r="AE37" s="24">
        <f t="shared" si="9"/>
        <v>0</v>
      </c>
      <c r="AF37" s="24">
        <f t="shared" si="9"/>
        <v>0</v>
      </c>
      <c r="AG37" s="24">
        <f t="shared" si="9"/>
        <v>0</v>
      </c>
      <c r="AH37" s="24">
        <f t="shared" si="9"/>
        <v>0</v>
      </c>
      <c r="AI37" s="24">
        <f t="shared" si="9"/>
        <v>0</v>
      </c>
      <c r="AJ37" s="24">
        <f t="shared" si="9"/>
        <v>0</v>
      </c>
      <c r="AK37" s="24">
        <f t="shared" si="9"/>
        <v>0</v>
      </c>
      <c r="AL37" s="24">
        <f t="shared" si="9"/>
        <v>0</v>
      </c>
      <c r="AM37" s="24">
        <f t="shared" si="9"/>
        <v>0</v>
      </c>
      <c r="AN37" s="24">
        <f t="shared" si="9"/>
        <v>0</v>
      </c>
      <c r="AO37" s="24">
        <f t="shared" si="9"/>
        <v>0</v>
      </c>
      <c r="AP37" s="24">
        <f t="shared" si="9"/>
        <v>0</v>
      </c>
    </row>
    <row r="38" spans="1:42" hidden="1" outlineLevel="1">
      <c r="A38" s="22">
        <f t="shared" si="8"/>
        <v>0</v>
      </c>
      <c r="B38" s="30">
        <f>IF(Cuestionario!$C$70="SI",0,+Catálogo!D10)</f>
        <v>0</v>
      </c>
      <c r="G38" s="24">
        <f t="shared" si="9"/>
        <v>0</v>
      </c>
      <c r="H38" s="24">
        <f t="shared" si="9"/>
        <v>0</v>
      </c>
      <c r="I38" s="24">
        <f t="shared" si="9"/>
        <v>0</v>
      </c>
      <c r="J38" s="24">
        <f t="shared" si="9"/>
        <v>0</v>
      </c>
      <c r="K38" s="24">
        <f t="shared" si="9"/>
        <v>0</v>
      </c>
      <c r="L38" s="24">
        <f t="shared" si="9"/>
        <v>0</v>
      </c>
      <c r="M38" s="24">
        <f t="shared" si="9"/>
        <v>0</v>
      </c>
      <c r="N38" s="24">
        <f t="shared" si="9"/>
        <v>0</v>
      </c>
      <c r="O38" s="24">
        <f t="shared" si="9"/>
        <v>0</v>
      </c>
      <c r="P38" s="24">
        <f t="shared" si="9"/>
        <v>0</v>
      </c>
      <c r="Q38" s="24">
        <f t="shared" si="9"/>
        <v>0</v>
      </c>
      <c r="R38" s="24">
        <f t="shared" si="9"/>
        <v>0</v>
      </c>
      <c r="S38" s="25">
        <f t="shared" si="9"/>
        <v>0</v>
      </c>
      <c r="T38" s="25">
        <f t="shared" si="9"/>
        <v>0</v>
      </c>
      <c r="U38" s="25">
        <f t="shared" si="9"/>
        <v>0</v>
      </c>
      <c r="V38" s="25">
        <f t="shared" si="9"/>
        <v>0</v>
      </c>
      <c r="W38" s="25">
        <f t="shared" si="9"/>
        <v>0</v>
      </c>
      <c r="X38" s="25">
        <f t="shared" si="9"/>
        <v>0</v>
      </c>
      <c r="Y38" s="25">
        <f t="shared" si="9"/>
        <v>0</v>
      </c>
      <c r="Z38" s="25">
        <f t="shared" si="9"/>
        <v>0</v>
      </c>
      <c r="AA38" s="25">
        <f t="shared" si="9"/>
        <v>0</v>
      </c>
      <c r="AB38" s="25">
        <f t="shared" si="9"/>
        <v>0</v>
      </c>
      <c r="AC38" s="25">
        <f t="shared" si="9"/>
        <v>0</v>
      </c>
      <c r="AD38" s="25">
        <f t="shared" si="9"/>
        <v>0</v>
      </c>
      <c r="AE38" s="24">
        <f t="shared" si="9"/>
        <v>0</v>
      </c>
      <c r="AF38" s="24">
        <f t="shared" si="9"/>
        <v>0</v>
      </c>
      <c r="AG38" s="24">
        <f t="shared" si="9"/>
        <v>0</v>
      </c>
      <c r="AH38" s="24">
        <f t="shared" si="9"/>
        <v>0</v>
      </c>
      <c r="AI38" s="24">
        <f t="shared" si="9"/>
        <v>0</v>
      </c>
      <c r="AJ38" s="24">
        <f t="shared" si="9"/>
        <v>0</v>
      </c>
      <c r="AK38" s="24">
        <f t="shared" si="9"/>
        <v>0</v>
      </c>
      <c r="AL38" s="24">
        <f t="shared" si="9"/>
        <v>0</v>
      </c>
      <c r="AM38" s="24">
        <f t="shared" si="9"/>
        <v>0</v>
      </c>
      <c r="AN38" s="24">
        <f t="shared" si="9"/>
        <v>0</v>
      </c>
      <c r="AO38" s="24">
        <f t="shared" si="9"/>
        <v>0</v>
      </c>
      <c r="AP38" s="24">
        <f t="shared" si="9"/>
        <v>0</v>
      </c>
    </row>
    <row r="39" spans="1:42" hidden="1" outlineLevel="1">
      <c r="A39" s="22">
        <f t="shared" si="8"/>
        <v>0</v>
      </c>
      <c r="B39" s="30">
        <f>IF(Cuestionario!$C$70="SI",0,+Catálogo!D11)</f>
        <v>0</v>
      </c>
      <c r="G39" s="24">
        <f t="shared" si="9"/>
        <v>0</v>
      </c>
      <c r="H39" s="24">
        <f t="shared" si="9"/>
        <v>0</v>
      </c>
      <c r="I39" s="24">
        <f t="shared" si="9"/>
        <v>0</v>
      </c>
      <c r="J39" s="24">
        <f t="shared" si="9"/>
        <v>0</v>
      </c>
      <c r="K39" s="24">
        <f t="shared" si="9"/>
        <v>0</v>
      </c>
      <c r="L39" s="24">
        <f t="shared" si="9"/>
        <v>0</v>
      </c>
      <c r="M39" s="24">
        <f t="shared" si="9"/>
        <v>0</v>
      </c>
      <c r="N39" s="24">
        <f t="shared" si="9"/>
        <v>0</v>
      </c>
      <c r="O39" s="24">
        <f t="shared" si="9"/>
        <v>0</v>
      </c>
      <c r="P39" s="24">
        <f t="shared" si="9"/>
        <v>0</v>
      </c>
      <c r="Q39" s="24">
        <f t="shared" si="9"/>
        <v>0</v>
      </c>
      <c r="R39" s="24">
        <f t="shared" si="9"/>
        <v>0</v>
      </c>
      <c r="S39" s="25">
        <f t="shared" si="9"/>
        <v>0</v>
      </c>
      <c r="T39" s="25">
        <f t="shared" si="9"/>
        <v>0</v>
      </c>
      <c r="U39" s="25">
        <f t="shared" si="9"/>
        <v>0</v>
      </c>
      <c r="V39" s="25">
        <f t="shared" si="9"/>
        <v>0</v>
      </c>
      <c r="W39" s="25">
        <f t="shared" si="9"/>
        <v>0</v>
      </c>
      <c r="X39" s="25">
        <f t="shared" si="9"/>
        <v>0</v>
      </c>
      <c r="Y39" s="25">
        <f t="shared" si="9"/>
        <v>0</v>
      </c>
      <c r="Z39" s="25">
        <f t="shared" si="9"/>
        <v>0</v>
      </c>
      <c r="AA39" s="25">
        <f t="shared" si="9"/>
        <v>0</v>
      </c>
      <c r="AB39" s="25">
        <f t="shared" si="9"/>
        <v>0</v>
      </c>
      <c r="AC39" s="25">
        <f t="shared" si="9"/>
        <v>0</v>
      </c>
      <c r="AD39" s="25">
        <f t="shared" si="9"/>
        <v>0</v>
      </c>
      <c r="AE39" s="24">
        <f t="shared" si="9"/>
        <v>0</v>
      </c>
      <c r="AF39" s="24">
        <f t="shared" si="9"/>
        <v>0</v>
      </c>
      <c r="AG39" s="24">
        <f t="shared" si="9"/>
        <v>0</v>
      </c>
      <c r="AH39" s="24">
        <f t="shared" si="9"/>
        <v>0</v>
      </c>
      <c r="AI39" s="24">
        <f t="shared" si="9"/>
        <v>0</v>
      </c>
      <c r="AJ39" s="24">
        <f t="shared" si="9"/>
        <v>0</v>
      </c>
      <c r="AK39" s="24">
        <f t="shared" si="9"/>
        <v>0</v>
      </c>
      <c r="AL39" s="24">
        <f t="shared" si="9"/>
        <v>0</v>
      </c>
      <c r="AM39" s="24">
        <f t="shared" si="9"/>
        <v>0</v>
      </c>
      <c r="AN39" s="24">
        <f t="shared" si="9"/>
        <v>0</v>
      </c>
      <c r="AO39" s="24">
        <f t="shared" si="9"/>
        <v>0</v>
      </c>
      <c r="AP39" s="24">
        <f t="shared" si="9"/>
        <v>0</v>
      </c>
    </row>
    <row r="40" spans="1:42" hidden="1" outlineLevel="1">
      <c r="A40" s="22">
        <f t="shared" si="8"/>
        <v>0</v>
      </c>
      <c r="B40" s="30">
        <f>IF(Cuestionario!$C$70="SI",0,+Catálogo!D12)</f>
        <v>0</v>
      </c>
      <c r="G40" s="24">
        <f t="shared" si="9"/>
        <v>0</v>
      </c>
      <c r="H40" s="24">
        <f t="shared" si="9"/>
        <v>0</v>
      </c>
      <c r="I40" s="24">
        <f t="shared" si="9"/>
        <v>0</v>
      </c>
      <c r="J40" s="24">
        <f t="shared" si="9"/>
        <v>0</v>
      </c>
      <c r="K40" s="24">
        <f t="shared" si="9"/>
        <v>0</v>
      </c>
      <c r="L40" s="24">
        <f t="shared" si="9"/>
        <v>0</v>
      </c>
      <c r="M40" s="24">
        <f t="shared" si="9"/>
        <v>0</v>
      </c>
      <c r="N40" s="24">
        <f t="shared" si="9"/>
        <v>0</v>
      </c>
      <c r="O40" s="24">
        <f t="shared" si="9"/>
        <v>0</v>
      </c>
      <c r="P40" s="24">
        <f t="shared" si="9"/>
        <v>0</v>
      </c>
      <c r="Q40" s="24">
        <f t="shared" si="9"/>
        <v>0</v>
      </c>
      <c r="R40" s="24">
        <f t="shared" si="9"/>
        <v>0</v>
      </c>
      <c r="S40" s="25">
        <f t="shared" si="9"/>
        <v>0</v>
      </c>
      <c r="T40" s="25">
        <f t="shared" si="9"/>
        <v>0</v>
      </c>
      <c r="U40" s="25">
        <f t="shared" si="9"/>
        <v>0</v>
      </c>
      <c r="V40" s="25">
        <f t="shared" si="9"/>
        <v>0</v>
      </c>
      <c r="W40" s="25">
        <f t="shared" si="9"/>
        <v>0</v>
      </c>
      <c r="X40" s="25">
        <f t="shared" si="9"/>
        <v>0</v>
      </c>
      <c r="Y40" s="25">
        <f t="shared" si="9"/>
        <v>0</v>
      </c>
      <c r="Z40" s="25">
        <f t="shared" si="9"/>
        <v>0</v>
      </c>
      <c r="AA40" s="25">
        <f t="shared" si="9"/>
        <v>0</v>
      </c>
      <c r="AB40" s="25">
        <f t="shared" si="9"/>
        <v>0</v>
      </c>
      <c r="AC40" s="25">
        <f t="shared" si="9"/>
        <v>0</v>
      </c>
      <c r="AD40" s="25">
        <f t="shared" si="9"/>
        <v>0</v>
      </c>
      <c r="AE40" s="24">
        <f t="shared" si="9"/>
        <v>0</v>
      </c>
      <c r="AF40" s="24">
        <f t="shared" si="9"/>
        <v>0</v>
      </c>
      <c r="AG40" s="24">
        <f t="shared" si="9"/>
        <v>0</v>
      </c>
      <c r="AH40" s="24">
        <f t="shared" si="9"/>
        <v>0</v>
      </c>
      <c r="AI40" s="24">
        <f t="shared" si="9"/>
        <v>0</v>
      </c>
      <c r="AJ40" s="24">
        <f t="shared" si="9"/>
        <v>0</v>
      </c>
      <c r="AK40" s="24">
        <f t="shared" si="9"/>
        <v>0</v>
      </c>
      <c r="AL40" s="24">
        <f t="shared" si="9"/>
        <v>0</v>
      </c>
      <c r="AM40" s="24">
        <f t="shared" si="9"/>
        <v>0</v>
      </c>
      <c r="AN40" s="24">
        <f t="shared" si="9"/>
        <v>0</v>
      </c>
      <c r="AO40" s="24">
        <f t="shared" si="9"/>
        <v>0</v>
      </c>
      <c r="AP40" s="24">
        <f t="shared" si="9"/>
        <v>0</v>
      </c>
    </row>
    <row r="41" spans="1:42" hidden="1" outlineLevel="1">
      <c r="A41" s="22">
        <f t="shared" si="8"/>
        <v>0</v>
      </c>
      <c r="B41" s="30">
        <f>IF(Cuestionario!$C$70="SI",0,+Catálogo!D13)</f>
        <v>0</v>
      </c>
      <c r="G41" s="24">
        <f t="shared" si="9"/>
        <v>0</v>
      </c>
      <c r="H41" s="24">
        <f t="shared" si="9"/>
        <v>0</v>
      </c>
      <c r="I41" s="24">
        <f t="shared" si="9"/>
        <v>0</v>
      </c>
      <c r="J41" s="24">
        <f t="shared" ref="H41:AP48" si="10">$B41*J9</f>
        <v>0</v>
      </c>
      <c r="K41" s="24">
        <f t="shared" si="10"/>
        <v>0</v>
      </c>
      <c r="L41" s="24">
        <f t="shared" si="10"/>
        <v>0</v>
      </c>
      <c r="M41" s="24">
        <f t="shared" si="10"/>
        <v>0</v>
      </c>
      <c r="N41" s="24">
        <f t="shared" si="10"/>
        <v>0</v>
      </c>
      <c r="O41" s="24">
        <f t="shared" si="10"/>
        <v>0</v>
      </c>
      <c r="P41" s="24">
        <f t="shared" si="10"/>
        <v>0</v>
      </c>
      <c r="Q41" s="24">
        <f t="shared" si="10"/>
        <v>0</v>
      </c>
      <c r="R41" s="24">
        <f t="shared" si="10"/>
        <v>0</v>
      </c>
      <c r="S41" s="25">
        <f t="shared" si="10"/>
        <v>0</v>
      </c>
      <c r="T41" s="25">
        <f t="shared" si="10"/>
        <v>0</v>
      </c>
      <c r="U41" s="25">
        <f t="shared" si="10"/>
        <v>0</v>
      </c>
      <c r="V41" s="25">
        <f t="shared" si="10"/>
        <v>0</v>
      </c>
      <c r="W41" s="25">
        <f t="shared" si="10"/>
        <v>0</v>
      </c>
      <c r="X41" s="25">
        <f t="shared" si="10"/>
        <v>0</v>
      </c>
      <c r="Y41" s="25">
        <f t="shared" si="10"/>
        <v>0</v>
      </c>
      <c r="Z41" s="25">
        <f t="shared" si="10"/>
        <v>0</v>
      </c>
      <c r="AA41" s="25">
        <f t="shared" si="10"/>
        <v>0</v>
      </c>
      <c r="AB41" s="25">
        <f t="shared" si="10"/>
        <v>0</v>
      </c>
      <c r="AC41" s="25">
        <f t="shared" si="10"/>
        <v>0</v>
      </c>
      <c r="AD41" s="25">
        <f t="shared" si="10"/>
        <v>0</v>
      </c>
      <c r="AE41" s="24">
        <f t="shared" si="10"/>
        <v>0</v>
      </c>
      <c r="AF41" s="24">
        <f t="shared" si="10"/>
        <v>0</v>
      </c>
      <c r="AG41" s="24">
        <f t="shared" si="10"/>
        <v>0</v>
      </c>
      <c r="AH41" s="24">
        <f t="shared" si="10"/>
        <v>0</v>
      </c>
      <c r="AI41" s="24">
        <f t="shared" si="10"/>
        <v>0</v>
      </c>
      <c r="AJ41" s="24">
        <f t="shared" si="10"/>
        <v>0</v>
      </c>
      <c r="AK41" s="24">
        <f t="shared" si="10"/>
        <v>0</v>
      </c>
      <c r="AL41" s="24">
        <f t="shared" si="10"/>
        <v>0</v>
      </c>
      <c r="AM41" s="24">
        <f t="shared" si="10"/>
        <v>0</v>
      </c>
      <c r="AN41" s="24">
        <f t="shared" si="10"/>
        <v>0</v>
      </c>
      <c r="AO41" s="24">
        <f t="shared" si="10"/>
        <v>0</v>
      </c>
      <c r="AP41" s="24">
        <f t="shared" si="10"/>
        <v>0</v>
      </c>
    </row>
    <row r="42" spans="1:42" hidden="1" outlineLevel="1">
      <c r="A42" s="22">
        <f t="shared" si="8"/>
        <v>0</v>
      </c>
      <c r="B42" s="30">
        <f>IF(Cuestionario!$C$70="SI",0,+Catálogo!D14)</f>
        <v>0</v>
      </c>
      <c r="G42" s="24">
        <f t="shared" ref="G42:G48" si="11">$B42*G10</f>
        <v>0</v>
      </c>
      <c r="H42" s="24">
        <f t="shared" si="10"/>
        <v>0</v>
      </c>
      <c r="I42" s="24">
        <f t="shared" si="10"/>
        <v>0</v>
      </c>
      <c r="J42" s="24">
        <f t="shared" si="10"/>
        <v>0</v>
      </c>
      <c r="K42" s="24">
        <f t="shared" si="10"/>
        <v>0</v>
      </c>
      <c r="L42" s="24">
        <f t="shared" si="10"/>
        <v>0</v>
      </c>
      <c r="M42" s="24">
        <f t="shared" si="10"/>
        <v>0</v>
      </c>
      <c r="N42" s="24">
        <f t="shared" si="10"/>
        <v>0</v>
      </c>
      <c r="O42" s="24">
        <f t="shared" si="10"/>
        <v>0</v>
      </c>
      <c r="P42" s="24">
        <f t="shared" si="10"/>
        <v>0</v>
      </c>
      <c r="Q42" s="24">
        <f t="shared" si="10"/>
        <v>0</v>
      </c>
      <c r="R42" s="24">
        <f t="shared" si="10"/>
        <v>0</v>
      </c>
      <c r="S42" s="25">
        <f t="shared" si="10"/>
        <v>0</v>
      </c>
      <c r="T42" s="25">
        <f t="shared" si="10"/>
        <v>0</v>
      </c>
      <c r="U42" s="25">
        <f t="shared" si="10"/>
        <v>0</v>
      </c>
      <c r="V42" s="25">
        <f t="shared" si="10"/>
        <v>0</v>
      </c>
      <c r="W42" s="25">
        <f t="shared" si="10"/>
        <v>0</v>
      </c>
      <c r="X42" s="25">
        <f t="shared" si="10"/>
        <v>0</v>
      </c>
      <c r="Y42" s="25">
        <f t="shared" si="10"/>
        <v>0</v>
      </c>
      <c r="Z42" s="25">
        <f t="shared" si="10"/>
        <v>0</v>
      </c>
      <c r="AA42" s="25">
        <f t="shared" si="10"/>
        <v>0</v>
      </c>
      <c r="AB42" s="25">
        <f t="shared" si="10"/>
        <v>0</v>
      </c>
      <c r="AC42" s="25">
        <f t="shared" si="10"/>
        <v>0</v>
      </c>
      <c r="AD42" s="25">
        <f t="shared" si="10"/>
        <v>0</v>
      </c>
      <c r="AE42" s="24">
        <f t="shared" si="10"/>
        <v>0</v>
      </c>
      <c r="AF42" s="24">
        <f t="shared" si="10"/>
        <v>0</v>
      </c>
      <c r="AG42" s="24">
        <f t="shared" si="10"/>
        <v>0</v>
      </c>
      <c r="AH42" s="24">
        <f t="shared" si="10"/>
        <v>0</v>
      </c>
      <c r="AI42" s="24">
        <f t="shared" si="10"/>
        <v>0</v>
      </c>
      <c r="AJ42" s="24">
        <f t="shared" si="10"/>
        <v>0</v>
      </c>
      <c r="AK42" s="24">
        <f t="shared" si="10"/>
        <v>0</v>
      </c>
      <c r="AL42" s="24">
        <f t="shared" si="10"/>
        <v>0</v>
      </c>
      <c r="AM42" s="24">
        <f t="shared" si="10"/>
        <v>0</v>
      </c>
      <c r="AN42" s="24">
        <f t="shared" si="10"/>
        <v>0</v>
      </c>
      <c r="AO42" s="24">
        <f t="shared" si="10"/>
        <v>0</v>
      </c>
      <c r="AP42" s="24">
        <f t="shared" si="10"/>
        <v>0</v>
      </c>
    </row>
    <row r="43" spans="1:42" hidden="1" outlineLevel="1">
      <c r="A43" s="22">
        <f t="shared" si="8"/>
        <v>0</v>
      </c>
      <c r="B43" s="30">
        <f>IF(Cuestionario!$C$70="SI",0,+Catálogo!D15)</f>
        <v>0</v>
      </c>
      <c r="G43" s="24">
        <f t="shared" si="11"/>
        <v>0</v>
      </c>
      <c r="H43" s="24">
        <f t="shared" si="10"/>
        <v>0</v>
      </c>
      <c r="I43" s="24">
        <f t="shared" si="10"/>
        <v>0</v>
      </c>
      <c r="J43" s="24">
        <f t="shared" si="10"/>
        <v>0</v>
      </c>
      <c r="K43" s="24">
        <f t="shared" si="10"/>
        <v>0</v>
      </c>
      <c r="L43" s="24">
        <f t="shared" si="10"/>
        <v>0</v>
      </c>
      <c r="M43" s="24">
        <f t="shared" si="10"/>
        <v>0</v>
      </c>
      <c r="N43" s="24">
        <f t="shared" si="10"/>
        <v>0</v>
      </c>
      <c r="O43" s="24">
        <f t="shared" si="10"/>
        <v>0</v>
      </c>
      <c r="P43" s="24">
        <f t="shared" si="10"/>
        <v>0</v>
      </c>
      <c r="Q43" s="24">
        <f t="shared" si="10"/>
        <v>0</v>
      </c>
      <c r="R43" s="24">
        <f t="shared" si="10"/>
        <v>0</v>
      </c>
      <c r="S43" s="25">
        <f t="shared" si="10"/>
        <v>0</v>
      </c>
      <c r="T43" s="25">
        <f t="shared" si="10"/>
        <v>0</v>
      </c>
      <c r="U43" s="25">
        <f t="shared" si="10"/>
        <v>0</v>
      </c>
      <c r="V43" s="25">
        <f t="shared" si="10"/>
        <v>0</v>
      </c>
      <c r="W43" s="25">
        <f t="shared" si="10"/>
        <v>0</v>
      </c>
      <c r="X43" s="25">
        <f t="shared" si="10"/>
        <v>0</v>
      </c>
      <c r="Y43" s="25">
        <f t="shared" si="10"/>
        <v>0</v>
      </c>
      <c r="Z43" s="25">
        <f t="shared" si="10"/>
        <v>0</v>
      </c>
      <c r="AA43" s="25">
        <f t="shared" si="10"/>
        <v>0</v>
      </c>
      <c r="AB43" s="25">
        <f t="shared" si="10"/>
        <v>0</v>
      </c>
      <c r="AC43" s="25">
        <f t="shared" si="10"/>
        <v>0</v>
      </c>
      <c r="AD43" s="25">
        <f t="shared" si="10"/>
        <v>0</v>
      </c>
      <c r="AE43" s="24">
        <f t="shared" si="10"/>
        <v>0</v>
      </c>
      <c r="AF43" s="24">
        <f t="shared" si="10"/>
        <v>0</v>
      </c>
      <c r="AG43" s="24">
        <f t="shared" si="10"/>
        <v>0</v>
      </c>
      <c r="AH43" s="24">
        <f t="shared" si="10"/>
        <v>0</v>
      </c>
      <c r="AI43" s="24">
        <f t="shared" si="10"/>
        <v>0</v>
      </c>
      <c r="AJ43" s="24">
        <f t="shared" si="10"/>
        <v>0</v>
      </c>
      <c r="AK43" s="24">
        <f t="shared" si="10"/>
        <v>0</v>
      </c>
      <c r="AL43" s="24">
        <f t="shared" si="10"/>
        <v>0</v>
      </c>
      <c r="AM43" s="24">
        <f t="shared" si="10"/>
        <v>0</v>
      </c>
      <c r="AN43" s="24">
        <f t="shared" si="10"/>
        <v>0</v>
      </c>
      <c r="AO43" s="24">
        <f t="shared" si="10"/>
        <v>0</v>
      </c>
      <c r="AP43" s="24">
        <f t="shared" si="10"/>
        <v>0</v>
      </c>
    </row>
    <row r="44" spans="1:42" hidden="1" outlineLevel="1">
      <c r="A44" s="22">
        <f t="shared" si="8"/>
        <v>0</v>
      </c>
      <c r="B44" s="30">
        <f>IF(Cuestionario!$C$70="SI",0,+Catálogo!D16)</f>
        <v>0</v>
      </c>
      <c r="G44" s="24">
        <f t="shared" si="11"/>
        <v>0</v>
      </c>
      <c r="H44" s="24">
        <f t="shared" si="10"/>
        <v>0</v>
      </c>
      <c r="I44" s="24">
        <f t="shared" si="10"/>
        <v>0</v>
      </c>
      <c r="J44" s="24">
        <f t="shared" si="10"/>
        <v>0</v>
      </c>
      <c r="K44" s="24">
        <f t="shared" si="10"/>
        <v>0</v>
      </c>
      <c r="L44" s="24">
        <f t="shared" si="10"/>
        <v>0</v>
      </c>
      <c r="M44" s="24">
        <f t="shared" si="10"/>
        <v>0</v>
      </c>
      <c r="N44" s="24">
        <f t="shared" si="10"/>
        <v>0</v>
      </c>
      <c r="O44" s="24">
        <f t="shared" si="10"/>
        <v>0</v>
      </c>
      <c r="P44" s="24">
        <f t="shared" si="10"/>
        <v>0</v>
      </c>
      <c r="Q44" s="24">
        <f t="shared" si="10"/>
        <v>0</v>
      </c>
      <c r="R44" s="24">
        <f t="shared" si="10"/>
        <v>0</v>
      </c>
      <c r="S44" s="25">
        <f t="shared" si="10"/>
        <v>0</v>
      </c>
      <c r="T44" s="25">
        <f t="shared" si="10"/>
        <v>0</v>
      </c>
      <c r="U44" s="25">
        <f t="shared" si="10"/>
        <v>0</v>
      </c>
      <c r="V44" s="25">
        <f t="shared" si="10"/>
        <v>0</v>
      </c>
      <c r="W44" s="25">
        <f t="shared" si="10"/>
        <v>0</v>
      </c>
      <c r="X44" s="25">
        <f t="shared" si="10"/>
        <v>0</v>
      </c>
      <c r="Y44" s="25">
        <f t="shared" si="10"/>
        <v>0</v>
      </c>
      <c r="Z44" s="25">
        <f t="shared" si="10"/>
        <v>0</v>
      </c>
      <c r="AA44" s="25">
        <f t="shared" si="10"/>
        <v>0</v>
      </c>
      <c r="AB44" s="25">
        <f t="shared" si="10"/>
        <v>0</v>
      </c>
      <c r="AC44" s="25">
        <f t="shared" si="10"/>
        <v>0</v>
      </c>
      <c r="AD44" s="25">
        <f t="shared" si="10"/>
        <v>0</v>
      </c>
      <c r="AE44" s="24">
        <f t="shared" si="10"/>
        <v>0</v>
      </c>
      <c r="AF44" s="24">
        <f t="shared" si="10"/>
        <v>0</v>
      </c>
      <c r="AG44" s="24">
        <f t="shared" si="10"/>
        <v>0</v>
      </c>
      <c r="AH44" s="24">
        <f t="shared" si="10"/>
        <v>0</v>
      </c>
      <c r="AI44" s="24">
        <f t="shared" si="10"/>
        <v>0</v>
      </c>
      <c r="AJ44" s="24">
        <f t="shared" si="10"/>
        <v>0</v>
      </c>
      <c r="AK44" s="24">
        <f t="shared" si="10"/>
        <v>0</v>
      </c>
      <c r="AL44" s="24">
        <f t="shared" si="10"/>
        <v>0</v>
      </c>
      <c r="AM44" s="24">
        <f t="shared" si="10"/>
        <v>0</v>
      </c>
      <c r="AN44" s="24">
        <f t="shared" si="10"/>
        <v>0</v>
      </c>
      <c r="AO44" s="24">
        <f t="shared" si="10"/>
        <v>0</v>
      </c>
      <c r="AP44" s="24">
        <f t="shared" si="10"/>
        <v>0</v>
      </c>
    </row>
    <row r="45" spans="1:42" hidden="1" outlineLevel="1">
      <c r="A45" s="22">
        <f t="shared" si="8"/>
        <v>0</v>
      </c>
      <c r="B45" s="30">
        <f>IF(Cuestionario!$C$70="SI",0,+Catálogo!D17)</f>
        <v>0</v>
      </c>
      <c r="G45" s="24">
        <f t="shared" si="11"/>
        <v>0</v>
      </c>
      <c r="H45" s="24">
        <f t="shared" si="10"/>
        <v>0</v>
      </c>
      <c r="I45" s="24">
        <f t="shared" si="10"/>
        <v>0</v>
      </c>
      <c r="J45" s="24">
        <f t="shared" si="10"/>
        <v>0</v>
      </c>
      <c r="K45" s="24">
        <f t="shared" si="10"/>
        <v>0</v>
      </c>
      <c r="L45" s="24">
        <f t="shared" si="10"/>
        <v>0</v>
      </c>
      <c r="M45" s="24">
        <f t="shared" si="10"/>
        <v>0</v>
      </c>
      <c r="N45" s="24">
        <f t="shared" si="10"/>
        <v>0</v>
      </c>
      <c r="O45" s="24">
        <f t="shared" si="10"/>
        <v>0</v>
      </c>
      <c r="P45" s="24">
        <f t="shared" si="10"/>
        <v>0</v>
      </c>
      <c r="Q45" s="24">
        <f t="shared" si="10"/>
        <v>0</v>
      </c>
      <c r="R45" s="24">
        <f t="shared" si="10"/>
        <v>0</v>
      </c>
      <c r="S45" s="25">
        <f t="shared" si="10"/>
        <v>0</v>
      </c>
      <c r="T45" s="25">
        <f t="shared" si="10"/>
        <v>0</v>
      </c>
      <c r="U45" s="25">
        <f t="shared" si="10"/>
        <v>0</v>
      </c>
      <c r="V45" s="25">
        <f t="shared" si="10"/>
        <v>0</v>
      </c>
      <c r="W45" s="25">
        <f t="shared" si="10"/>
        <v>0</v>
      </c>
      <c r="X45" s="25">
        <f t="shared" si="10"/>
        <v>0</v>
      </c>
      <c r="Y45" s="25">
        <f t="shared" si="10"/>
        <v>0</v>
      </c>
      <c r="Z45" s="25">
        <f t="shared" si="10"/>
        <v>0</v>
      </c>
      <c r="AA45" s="25">
        <f t="shared" si="10"/>
        <v>0</v>
      </c>
      <c r="AB45" s="25">
        <f t="shared" si="10"/>
        <v>0</v>
      </c>
      <c r="AC45" s="25">
        <f t="shared" si="10"/>
        <v>0</v>
      </c>
      <c r="AD45" s="25">
        <f t="shared" si="10"/>
        <v>0</v>
      </c>
      <c r="AE45" s="24">
        <f t="shared" si="10"/>
        <v>0</v>
      </c>
      <c r="AF45" s="24">
        <f t="shared" si="10"/>
        <v>0</v>
      </c>
      <c r="AG45" s="24">
        <f t="shared" si="10"/>
        <v>0</v>
      </c>
      <c r="AH45" s="24">
        <f t="shared" si="10"/>
        <v>0</v>
      </c>
      <c r="AI45" s="24">
        <f t="shared" si="10"/>
        <v>0</v>
      </c>
      <c r="AJ45" s="24">
        <f t="shared" si="10"/>
        <v>0</v>
      </c>
      <c r="AK45" s="24">
        <f t="shared" si="10"/>
        <v>0</v>
      </c>
      <c r="AL45" s="24">
        <f t="shared" si="10"/>
        <v>0</v>
      </c>
      <c r="AM45" s="24">
        <f t="shared" si="10"/>
        <v>0</v>
      </c>
      <c r="AN45" s="24">
        <f t="shared" si="10"/>
        <v>0</v>
      </c>
      <c r="AO45" s="24">
        <f t="shared" si="10"/>
        <v>0</v>
      </c>
      <c r="AP45" s="24">
        <f t="shared" si="10"/>
        <v>0</v>
      </c>
    </row>
    <row r="46" spans="1:42" hidden="1" outlineLevel="1">
      <c r="A46" s="22">
        <f t="shared" si="8"/>
        <v>0</v>
      </c>
      <c r="B46" s="30">
        <f>IF(Cuestionario!$C$70="SI",0,+Catálogo!D18)</f>
        <v>0</v>
      </c>
      <c r="G46" s="24">
        <f t="shared" si="11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</v>
      </c>
      <c r="M46" s="24">
        <f t="shared" si="10"/>
        <v>0</v>
      </c>
      <c r="N46" s="24">
        <f t="shared" si="10"/>
        <v>0</v>
      </c>
      <c r="O46" s="24">
        <f t="shared" si="10"/>
        <v>0</v>
      </c>
      <c r="P46" s="24">
        <f t="shared" si="10"/>
        <v>0</v>
      </c>
      <c r="Q46" s="24">
        <f t="shared" si="10"/>
        <v>0</v>
      </c>
      <c r="R46" s="24">
        <f t="shared" si="10"/>
        <v>0</v>
      </c>
      <c r="S46" s="25">
        <f t="shared" si="10"/>
        <v>0</v>
      </c>
      <c r="T46" s="25">
        <f t="shared" si="10"/>
        <v>0</v>
      </c>
      <c r="U46" s="25">
        <f t="shared" si="10"/>
        <v>0</v>
      </c>
      <c r="V46" s="25">
        <f t="shared" si="10"/>
        <v>0</v>
      </c>
      <c r="W46" s="25">
        <f t="shared" si="10"/>
        <v>0</v>
      </c>
      <c r="X46" s="25">
        <f t="shared" si="10"/>
        <v>0</v>
      </c>
      <c r="Y46" s="25">
        <f t="shared" si="10"/>
        <v>0</v>
      </c>
      <c r="Z46" s="25">
        <f t="shared" si="10"/>
        <v>0</v>
      </c>
      <c r="AA46" s="25">
        <f t="shared" si="10"/>
        <v>0</v>
      </c>
      <c r="AB46" s="25">
        <f t="shared" si="10"/>
        <v>0</v>
      </c>
      <c r="AC46" s="25">
        <f t="shared" si="10"/>
        <v>0</v>
      </c>
      <c r="AD46" s="25">
        <f t="shared" si="10"/>
        <v>0</v>
      </c>
      <c r="AE46" s="24">
        <f t="shared" si="10"/>
        <v>0</v>
      </c>
      <c r="AF46" s="24">
        <f t="shared" si="10"/>
        <v>0</v>
      </c>
      <c r="AG46" s="24">
        <f t="shared" si="10"/>
        <v>0</v>
      </c>
      <c r="AH46" s="24">
        <f t="shared" si="10"/>
        <v>0</v>
      </c>
      <c r="AI46" s="24">
        <f t="shared" si="10"/>
        <v>0</v>
      </c>
      <c r="AJ46" s="24">
        <f t="shared" si="10"/>
        <v>0</v>
      </c>
      <c r="AK46" s="24">
        <f t="shared" si="10"/>
        <v>0</v>
      </c>
      <c r="AL46" s="24">
        <f t="shared" si="10"/>
        <v>0</v>
      </c>
      <c r="AM46" s="24">
        <f t="shared" si="10"/>
        <v>0</v>
      </c>
      <c r="AN46" s="24">
        <f t="shared" si="10"/>
        <v>0</v>
      </c>
      <c r="AO46" s="24">
        <f t="shared" si="10"/>
        <v>0</v>
      </c>
      <c r="AP46" s="24">
        <f t="shared" si="10"/>
        <v>0</v>
      </c>
    </row>
    <row r="47" spans="1:42" hidden="1" outlineLevel="1">
      <c r="A47" s="22">
        <f t="shared" si="8"/>
        <v>0</v>
      </c>
      <c r="B47" s="30">
        <f>IF(Cuestionario!$C$70="SI",0,+Catálogo!D19)</f>
        <v>0</v>
      </c>
      <c r="G47" s="24">
        <f t="shared" si="11"/>
        <v>0</v>
      </c>
      <c r="H47" s="24">
        <f t="shared" si="10"/>
        <v>0</v>
      </c>
      <c r="I47" s="24">
        <f t="shared" si="10"/>
        <v>0</v>
      </c>
      <c r="J47" s="24">
        <f t="shared" si="10"/>
        <v>0</v>
      </c>
      <c r="K47" s="24">
        <f t="shared" si="10"/>
        <v>0</v>
      </c>
      <c r="L47" s="24">
        <f t="shared" si="10"/>
        <v>0</v>
      </c>
      <c r="M47" s="24">
        <f t="shared" si="10"/>
        <v>0</v>
      </c>
      <c r="N47" s="24">
        <f t="shared" si="10"/>
        <v>0</v>
      </c>
      <c r="O47" s="24">
        <f t="shared" si="10"/>
        <v>0</v>
      </c>
      <c r="P47" s="24">
        <f t="shared" si="10"/>
        <v>0</v>
      </c>
      <c r="Q47" s="24">
        <f t="shared" si="10"/>
        <v>0</v>
      </c>
      <c r="R47" s="24">
        <f t="shared" si="10"/>
        <v>0</v>
      </c>
      <c r="S47" s="25">
        <f t="shared" si="10"/>
        <v>0</v>
      </c>
      <c r="T47" s="25">
        <f t="shared" si="10"/>
        <v>0</v>
      </c>
      <c r="U47" s="25">
        <f t="shared" si="10"/>
        <v>0</v>
      </c>
      <c r="V47" s="25">
        <f t="shared" si="10"/>
        <v>0</v>
      </c>
      <c r="W47" s="25">
        <f t="shared" si="10"/>
        <v>0</v>
      </c>
      <c r="X47" s="25">
        <f t="shared" si="10"/>
        <v>0</v>
      </c>
      <c r="Y47" s="25">
        <f t="shared" si="10"/>
        <v>0</v>
      </c>
      <c r="Z47" s="25">
        <f t="shared" si="10"/>
        <v>0</v>
      </c>
      <c r="AA47" s="25">
        <f t="shared" si="10"/>
        <v>0</v>
      </c>
      <c r="AB47" s="25">
        <f t="shared" si="10"/>
        <v>0</v>
      </c>
      <c r="AC47" s="25">
        <f t="shared" si="10"/>
        <v>0</v>
      </c>
      <c r="AD47" s="25">
        <f t="shared" si="10"/>
        <v>0</v>
      </c>
      <c r="AE47" s="24">
        <f t="shared" si="10"/>
        <v>0</v>
      </c>
      <c r="AF47" s="24">
        <f t="shared" si="10"/>
        <v>0</v>
      </c>
      <c r="AG47" s="24">
        <f t="shared" si="10"/>
        <v>0</v>
      </c>
      <c r="AH47" s="24">
        <f t="shared" si="10"/>
        <v>0</v>
      </c>
      <c r="AI47" s="24">
        <f t="shared" si="10"/>
        <v>0</v>
      </c>
      <c r="AJ47" s="24">
        <f t="shared" si="10"/>
        <v>0</v>
      </c>
      <c r="AK47" s="24">
        <f t="shared" si="10"/>
        <v>0</v>
      </c>
      <c r="AL47" s="24">
        <f t="shared" si="10"/>
        <v>0</v>
      </c>
      <c r="AM47" s="24">
        <f t="shared" si="10"/>
        <v>0</v>
      </c>
      <c r="AN47" s="24">
        <f t="shared" si="10"/>
        <v>0</v>
      </c>
      <c r="AO47" s="24">
        <f t="shared" si="10"/>
        <v>0</v>
      </c>
      <c r="AP47" s="24">
        <f t="shared" si="10"/>
        <v>0</v>
      </c>
    </row>
    <row r="48" spans="1:42" hidden="1" outlineLevel="1">
      <c r="A48" s="22">
        <f t="shared" si="8"/>
        <v>0</v>
      </c>
      <c r="B48" s="30">
        <f>IF(Cuestionario!$C$70="SI",0,+Catálogo!D20)</f>
        <v>0</v>
      </c>
      <c r="G48" s="24">
        <f t="shared" si="11"/>
        <v>0</v>
      </c>
      <c r="H48" s="24">
        <f t="shared" si="10"/>
        <v>0</v>
      </c>
      <c r="I48" s="24">
        <f t="shared" si="10"/>
        <v>0</v>
      </c>
      <c r="J48" s="24">
        <f t="shared" si="10"/>
        <v>0</v>
      </c>
      <c r="K48" s="24">
        <f t="shared" si="10"/>
        <v>0</v>
      </c>
      <c r="L48" s="24">
        <f t="shared" si="10"/>
        <v>0</v>
      </c>
      <c r="M48" s="24">
        <f t="shared" si="10"/>
        <v>0</v>
      </c>
      <c r="N48" s="24">
        <f t="shared" si="10"/>
        <v>0</v>
      </c>
      <c r="O48" s="24">
        <f t="shared" si="10"/>
        <v>0</v>
      </c>
      <c r="P48" s="24">
        <f t="shared" si="10"/>
        <v>0</v>
      </c>
      <c r="Q48" s="24">
        <f t="shared" si="10"/>
        <v>0</v>
      </c>
      <c r="R48" s="24">
        <f t="shared" si="10"/>
        <v>0</v>
      </c>
      <c r="S48" s="25">
        <f t="shared" si="10"/>
        <v>0</v>
      </c>
      <c r="T48" s="25">
        <f t="shared" ref="T48:AP48" si="12">$B48*T16</f>
        <v>0</v>
      </c>
      <c r="U48" s="25">
        <f t="shared" si="12"/>
        <v>0</v>
      </c>
      <c r="V48" s="25">
        <f t="shared" si="12"/>
        <v>0</v>
      </c>
      <c r="W48" s="25">
        <f t="shared" si="12"/>
        <v>0</v>
      </c>
      <c r="X48" s="25">
        <f t="shared" si="12"/>
        <v>0</v>
      </c>
      <c r="Y48" s="25">
        <f t="shared" si="12"/>
        <v>0</v>
      </c>
      <c r="Z48" s="25">
        <f t="shared" si="12"/>
        <v>0</v>
      </c>
      <c r="AA48" s="25">
        <f t="shared" si="12"/>
        <v>0</v>
      </c>
      <c r="AB48" s="25">
        <f t="shared" si="12"/>
        <v>0</v>
      </c>
      <c r="AC48" s="25">
        <f t="shared" si="12"/>
        <v>0</v>
      </c>
      <c r="AD48" s="25">
        <f t="shared" si="12"/>
        <v>0</v>
      </c>
      <c r="AE48" s="24">
        <f t="shared" si="12"/>
        <v>0</v>
      </c>
      <c r="AF48" s="24">
        <f t="shared" si="12"/>
        <v>0</v>
      </c>
      <c r="AG48" s="24">
        <f t="shared" si="12"/>
        <v>0</v>
      </c>
      <c r="AH48" s="24">
        <f t="shared" si="12"/>
        <v>0</v>
      </c>
      <c r="AI48" s="24">
        <f t="shared" si="12"/>
        <v>0</v>
      </c>
      <c r="AJ48" s="24">
        <f t="shared" si="12"/>
        <v>0</v>
      </c>
      <c r="AK48" s="24">
        <f t="shared" si="12"/>
        <v>0</v>
      </c>
      <c r="AL48" s="24">
        <f t="shared" si="12"/>
        <v>0</v>
      </c>
      <c r="AM48" s="24">
        <f t="shared" si="12"/>
        <v>0</v>
      </c>
      <c r="AN48" s="24">
        <f t="shared" si="12"/>
        <v>0</v>
      </c>
      <c r="AO48" s="24">
        <f t="shared" si="12"/>
        <v>0</v>
      </c>
      <c r="AP48" s="24">
        <f t="shared" si="12"/>
        <v>0</v>
      </c>
    </row>
    <row r="49" spans="1:42" s="26" customFormat="1" collapsed="1">
      <c r="A49" s="26" t="s">
        <v>83</v>
      </c>
      <c r="B49" s="29"/>
      <c r="G49" s="27">
        <f>SUM(G34:G48)</f>
        <v>0</v>
      </c>
      <c r="H49" s="27">
        <f>SUM(H34:H48)</f>
        <v>0</v>
      </c>
      <c r="I49" s="27">
        <f t="shared" ref="I49:AP49" si="13">SUM(I34:I48)</f>
        <v>0</v>
      </c>
      <c r="J49" s="27">
        <f t="shared" si="13"/>
        <v>0</v>
      </c>
      <c r="K49" s="27">
        <f t="shared" si="13"/>
        <v>0</v>
      </c>
      <c r="L49" s="27">
        <f t="shared" si="13"/>
        <v>0</v>
      </c>
      <c r="M49" s="27">
        <f t="shared" si="13"/>
        <v>0</v>
      </c>
      <c r="N49" s="27">
        <f t="shared" si="13"/>
        <v>0</v>
      </c>
      <c r="O49" s="27">
        <f t="shared" si="13"/>
        <v>0</v>
      </c>
      <c r="P49" s="27">
        <f t="shared" si="13"/>
        <v>0</v>
      </c>
      <c r="Q49" s="27">
        <f t="shared" si="13"/>
        <v>0</v>
      </c>
      <c r="R49" s="27">
        <f t="shared" si="13"/>
        <v>0</v>
      </c>
      <c r="S49" s="28">
        <f t="shared" si="13"/>
        <v>0</v>
      </c>
      <c r="T49" s="28">
        <f t="shared" si="13"/>
        <v>0</v>
      </c>
      <c r="U49" s="28">
        <f t="shared" si="13"/>
        <v>0</v>
      </c>
      <c r="V49" s="28">
        <f t="shared" si="13"/>
        <v>0</v>
      </c>
      <c r="W49" s="28">
        <f t="shared" si="13"/>
        <v>0</v>
      </c>
      <c r="X49" s="28">
        <f t="shared" si="13"/>
        <v>0</v>
      </c>
      <c r="Y49" s="28">
        <f t="shared" si="13"/>
        <v>0</v>
      </c>
      <c r="Z49" s="28">
        <f t="shared" si="13"/>
        <v>0</v>
      </c>
      <c r="AA49" s="28">
        <f t="shared" si="13"/>
        <v>0</v>
      </c>
      <c r="AB49" s="28">
        <f t="shared" si="13"/>
        <v>0</v>
      </c>
      <c r="AC49" s="28">
        <f t="shared" si="13"/>
        <v>0</v>
      </c>
      <c r="AD49" s="28">
        <f t="shared" si="13"/>
        <v>0</v>
      </c>
      <c r="AE49" s="27">
        <f t="shared" si="13"/>
        <v>0</v>
      </c>
      <c r="AF49" s="27">
        <f t="shared" si="13"/>
        <v>0</v>
      </c>
      <c r="AG49" s="27">
        <f t="shared" si="13"/>
        <v>0</v>
      </c>
      <c r="AH49" s="27">
        <f t="shared" si="13"/>
        <v>0</v>
      </c>
      <c r="AI49" s="27">
        <f t="shared" si="13"/>
        <v>0</v>
      </c>
      <c r="AJ49" s="27">
        <f t="shared" si="13"/>
        <v>0</v>
      </c>
      <c r="AK49" s="27">
        <f t="shared" si="13"/>
        <v>0</v>
      </c>
      <c r="AL49" s="27">
        <f t="shared" si="13"/>
        <v>0</v>
      </c>
      <c r="AM49" s="27">
        <f t="shared" si="13"/>
        <v>0</v>
      </c>
      <c r="AN49" s="27">
        <f t="shared" si="13"/>
        <v>0</v>
      </c>
      <c r="AO49" s="27">
        <f t="shared" si="13"/>
        <v>0</v>
      </c>
      <c r="AP49" s="27">
        <f t="shared" si="13"/>
        <v>0</v>
      </c>
    </row>
    <row r="50" spans="1:42" hidden="1" outlineLevel="1">
      <c r="A50" s="22">
        <f t="shared" ref="A50:A64" si="14">+A2</f>
        <v>0</v>
      </c>
      <c r="B50" s="30">
        <f>IF(Cuestionario!$C$70="si",0,+Catálogo!D6)</f>
        <v>0</v>
      </c>
      <c r="G50" s="24">
        <f t="shared" ref="G50:AP57" si="15">+G18*$B50</f>
        <v>0</v>
      </c>
      <c r="H50" s="24">
        <f t="shared" si="15"/>
        <v>0</v>
      </c>
      <c r="I50" s="24">
        <f t="shared" si="15"/>
        <v>0</v>
      </c>
      <c r="J50" s="24">
        <f t="shared" si="15"/>
        <v>0</v>
      </c>
      <c r="K50" s="24">
        <f t="shared" si="15"/>
        <v>0</v>
      </c>
      <c r="L50" s="24">
        <f t="shared" si="15"/>
        <v>0</v>
      </c>
      <c r="M50" s="24">
        <f t="shared" si="15"/>
        <v>0</v>
      </c>
      <c r="N50" s="24">
        <f t="shared" si="15"/>
        <v>0</v>
      </c>
      <c r="O50" s="24">
        <f t="shared" si="15"/>
        <v>0</v>
      </c>
      <c r="P50" s="24">
        <f t="shared" si="15"/>
        <v>0</v>
      </c>
      <c r="Q50" s="24">
        <f t="shared" si="15"/>
        <v>0</v>
      </c>
      <c r="R50" s="24">
        <f t="shared" si="15"/>
        <v>0</v>
      </c>
      <c r="S50" s="25">
        <f t="shared" si="15"/>
        <v>0</v>
      </c>
      <c r="T50" s="25">
        <f t="shared" si="15"/>
        <v>0</v>
      </c>
      <c r="U50" s="25">
        <f t="shared" si="15"/>
        <v>0</v>
      </c>
      <c r="V50" s="25">
        <f t="shared" si="15"/>
        <v>0</v>
      </c>
      <c r="W50" s="25">
        <f t="shared" si="15"/>
        <v>0</v>
      </c>
      <c r="X50" s="25">
        <f t="shared" si="15"/>
        <v>0</v>
      </c>
      <c r="Y50" s="25">
        <f t="shared" si="15"/>
        <v>0</v>
      </c>
      <c r="Z50" s="25">
        <f t="shared" si="15"/>
        <v>0</v>
      </c>
      <c r="AA50" s="25">
        <f t="shared" si="15"/>
        <v>0</v>
      </c>
      <c r="AB50" s="25">
        <f t="shared" si="15"/>
        <v>0</v>
      </c>
      <c r="AC50" s="25">
        <f t="shared" si="15"/>
        <v>0</v>
      </c>
      <c r="AD50" s="25">
        <f t="shared" si="15"/>
        <v>0</v>
      </c>
      <c r="AE50" s="24">
        <f t="shared" si="15"/>
        <v>0</v>
      </c>
      <c r="AF50" s="24">
        <f t="shared" si="15"/>
        <v>0</v>
      </c>
      <c r="AG50" s="24">
        <f t="shared" si="15"/>
        <v>0</v>
      </c>
      <c r="AH50" s="24">
        <f t="shared" si="15"/>
        <v>0</v>
      </c>
      <c r="AI50" s="24">
        <f t="shared" si="15"/>
        <v>0</v>
      </c>
      <c r="AJ50" s="24">
        <f t="shared" si="15"/>
        <v>0</v>
      </c>
      <c r="AK50" s="24">
        <f t="shared" si="15"/>
        <v>0</v>
      </c>
      <c r="AL50" s="24">
        <f t="shared" si="15"/>
        <v>0</v>
      </c>
      <c r="AM50" s="24">
        <f t="shared" si="15"/>
        <v>0</v>
      </c>
      <c r="AN50" s="24">
        <f t="shared" si="15"/>
        <v>0</v>
      </c>
      <c r="AO50" s="24">
        <f t="shared" si="15"/>
        <v>0</v>
      </c>
      <c r="AP50" s="24">
        <f t="shared" si="15"/>
        <v>0</v>
      </c>
    </row>
    <row r="51" spans="1:42" hidden="1" outlineLevel="1">
      <c r="A51" s="22">
        <f t="shared" si="14"/>
        <v>0</v>
      </c>
      <c r="B51" s="30">
        <f>IF(Cuestionario!$C$70="si",0,+Catálogo!D7)</f>
        <v>0</v>
      </c>
      <c r="G51" s="24">
        <f t="shared" si="15"/>
        <v>0</v>
      </c>
      <c r="H51" s="24">
        <f t="shared" si="15"/>
        <v>0</v>
      </c>
      <c r="I51" s="24">
        <f t="shared" si="15"/>
        <v>0</v>
      </c>
      <c r="J51" s="24">
        <f t="shared" si="15"/>
        <v>0</v>
      </c>
      <c r="K51" s="24">
        <f t="shared" si="15"/>
        <v>0</v>
      </c>
      <c r="L51" s="24">
        <f t="shared" si="15"/>
        <v>0</v>
      </c>
      <c r="M51" s="24">
        <f t="shared" si="15"/>
        <v>0</v>
      </c>
      <c r="N51" s="24">
        <f t="shared" si="15"/>
        <v>0</v>
      </c>
      <c r="O51" s="24">
        <f t="shared" si="15"/>
        <v>0</v>
      </c>
      <c r="P51" s="24">
        <f t="shared" si="15"/>
        <v>0</v>
      </c>
      <c r="Q51" s="24">
        <f t="shared" si="15"/>
        <v>0</v>
      </c>
      <c r="R51" s="24">
        <f t="shared" si="15"/>
        <v>0</v>
      </c>
      <c r="S51" s="25">
        <f t="shared" si="15"/>
        <v>0</v>
      </c>
      <c r="T51" s="25">
        <f t="shared" si="15"/>
        <v>0</v>
      </c>
      <c r="U51" s="25">
        <f t="shared" si="15"/>
        <v>0</v>
      </c>
      <c r="V51" s="25">
        <f t="shared" si="15"/>
        <v>0</v>
      </c>
      <c r="W51" s="25">
        <f t="shared" si="15"/>
        <v>0</v>
      </c>
      <c r="X51" s="25">
        <f t="shared" si="15"/>
        <v>0</v>
      </c>
      <c r="Y51" s="25">
        <f t="shared" si="15"/>
        <v>0</v>
      </c>
      <c r="Z51" s="25">
        <f t="shared" si="15"/>
        <v>0</v>
      </c>
      <c r="AA51" s="25">
        <f t="shared" si="15"/>
        <v>0</v>
      </c>
      <c r="AB51" s="25">
        <f t="shared" si="15"/>
        <v>0</v>
      </c>
      <c r="AC51" s="25">
        <f t="shared" si="15"/>
        <v>0</v>
      </c>
      <c r="AD51" s="25">
        <f t="shared" si="15"/>
        <v>0</v>
      </c>
      <c r="AE51" s="24">
        <f t="shared" si="15"/>
        <v>0</v>
      </c>
      <c r="AF51" s="24">
        <f t="shared" si="15"/>
        <v>0</v>
      </c>
      <c r="AG51" s="24">
        <f t="shared" si="15"/>
        <v>0</v>
      </c>
      <c r="AH51" s="24">
        <f t="shared" si="15"/>
        <v>0</v>
      </c>
      <c r="AI51" s="24">
        <f t="shared" si="15"/>
        <v>0</v>
      </c>
      <c r="AJ51" s="24">
        <f t="shared" si="15"/>
        <v>0</v>
      </c>
      <c r="AK51" s="24">
        <f t="shared" si="15"/>
        <v>0</v>
      </c>
      <c r="AL51" s="24">
        <f t="shared" si="15"/>
        <v>0</v>
      </c>
      <c r="AM51" s="24">
        <f t="shared" si="15"/>
        <v>0</v>
      </c>
      <c r="AN51" s="24">
        <f t="shared" si="15"/>
        <v>0</v>
      </c>
      <c r="AO51" s="24">
        <f t="shared" si="15"/>
        <v>0</v>
      </c>
      <c r="AP51" s="24">
        <f t="shared" si="15"/>
        <v>0</v>
      </c>
    </row>
    <row r="52" spans="1:42" hidden="1" outlineLevel="1">
      <c r="A52" s="22">
        <f t="shared" si="14"/>
        <v>0</v>
      </c>
      <c r="B52" s="30">
        <f>IF(Cuestionario!$C$70="si",0,+Catálogo!D8)</f>
        <v>0</v>
      </c>
      <c r="G52" s="24">
        <f t="shared" si="15"/>
        <v>0</v>
      </c>
      <c r="H52" s="24">
        <f t="shared" si="15"/>
        <v>0</v>
      </c>
      <c r="I52" s="24">
        <f t="shared" si="15"/>
        <v>0</v>
      </c>
      <c r="J52" s="24">
        <f t="shared" si="15"/>
        <v>0</v>
      </c>
      <c r="K52" s="24">
        <f t="shared" si="15"/>
        <v>0</v>
      </c>
      <c r="L52" s="24">
        <f t="shared" si="15"/>
        <v>0</v>
      </c>
      <c r="M52" s="24">
        <f t="shared" si="15"/>
        <v>0</v>
      </c>
      <c r="N52" s="24">
        <f t="shared" si="15"/>
        <v>0</v>
      </c>
      <c r="O52" s="24">
        <f t="shared" si="15"/>
        <v>0</v>
      </c>
      <c r="P52" s="24">
        <f t="shared" si="15"/>
        <v>0</v>
      </c>
      <c r="Q52" s="24">
        <f t="shared" si="15"/>
        <v>0</v>
      </c>
      <c r="R52" s="24">
        <f t="shared" si="15"/>
        <v>0</v>
      </c>
      <c r="S52" s="25">
        <f t="shared" si="15"/>
        <v>0</v>
      </c>
      <c r="T52" s="25">
        <f t="shared" si="15"/>
        <v>0</v>
      </c>
      <c r="U52" s="25">
        <f t="shared" si="15"/>
        <v>0</v>
      </c>
      <c r="V52" s="25">
        <f t="shared" si="15"/>
        <v>0</v>
      </c>
      <c r="W52" s="25">
        <f t="shared" si="15"/>
        <v>0</v>
      </c>
      <c r="X52" s="25">
        <f t="shared" si="15"/>
        <v>0</v>
      </c>
      <c r="Y52" s="25">
        <f t="shared" si="15"/>
        <v>0</v>
      </c>
      <c r="Z52" s="25">
        <f t="shared" si="15"/>
        <v>0</v>
      </c>
      <c r="AA52" s="25">
        <f t="shared" si="15"/>
        <v>0</v>
      </c>
      <c r="AB52" s="25">
        <f t="shared" si="15"/>
        <v>0</v>
      </c>
      <c r="AC52" s="25">
        <f t="shared" si="15"/>
        <v>0</v>
      </c>
      <c r="AD52" s="25">
        <f t="shared" si="15"/>
        <v>0</v>
      </c>
      <c r="AE52" s="24">
        <f t="shared" si="15"/>
        <v>0</v>
      </c>
      <c r="AF52" s="24">
        <f t="shared" si="15"/>
        <v>0</v>
      </c>
      <c r="AG52" s="24">
        <f t="shared" si="15"/>
        <v>0</v>
      </c>
      <c r="AH52" s="24">
        <f t="shared" si="15"/>
        <v>0</v>
      </c>
      <c r="AI52" s="24">
        <f t="shared" si="15"/>
        <v>0</v>
      </c>
      <c r="AJ52" s="24">
        <f t="shared" si="15"/>
        <v>0</v>
      </c>
      <c r="AK52" s="24">
        <f t="shared" si="15"/>
        <v>0</v>
      </c>
      <c r="AL52" s="24">
        <f t="shared" si="15"/>
        <v>0</v>
      </c>
      <c r="AM52" s="24">
        <f t="shared" si="15"/>
        <v>0</v>
      </c>
      <c r="AN52" s="24">
        <f t="shared" si="15"/>
        <v>0</v>
      </c>
      <c r="AO52" s="24">
        <f t="shared" si="15"/>
        <v>0</v>
      </c>
      <c r="AP52" s="24">
        <f t="shared" si="15"/>
        <v>0</v>
      </c>
    </row>
    <row r="53" spans="1:42" hidden="1" outlineLevel="1">
      <c r="A53" s="22">
        <f t="shared" si="14"/>
        <v>0</v>
      </c>
      <c r="B53" s="30">
        <f>IF(Cuestionario!$C$70="si",0,+Catálogo!D9)</f>
        <v>0</v>
      </c>
      <c r="G53" s="24">
        <f t="shared" si="15"/>
        <v>0</v>
      </c>
      <c r="H53" s="24">
        <f t="shared" si="15"/>
        <v>0</v>
      </c>
      <c r="I53" s="24">
        <f t="shared" si="15"/>
        <v>0</v>
      </c>
      <c r="J53" s="24">
        <f t="shared" si="15"/>
        <v>0</v>
      </c>
      <c r="K53" s="24">
        <f t="shared" si="15"/>
        <v>0</v>
      </c>
      <c r="L53" s="24">
        <f t="shared" si="15"/>
        <v>0</v>
      </c>
      <c r="M53" s="24">
        <f t="shared" si="15"/>
        <v>0</v>
      </c>
      <c r="N53" s="24">
        <f t="shared" si="15"/>
        <v>0</v>
      </c>
      <c r="O53" s="24">
        <f t="shared" si="15"/>
        <v>0</v>
      </c>
      <c r="P53" s="24">
        <f t="shared" si="15"/>
        <v>0</v>
      </c>
      <c r="Q53" s="24">
        <f t="shared" si="15"/>
        <v>0</v>
      </c>
      <c r="R53" s="24">
        <f t="shared" si="15"/>
        <v>0</v>
      </c>
      <c r="S53" s="25">
        <f t="shared" si="15"/>
        <v>0</v>
      </c>
      <c r="T53" s="25">
        <f t="shared" si="15"/>
        <v>0</v>
      </c>
      <c r="U53" s="25">
        <f t="shared" si="15"/>
        <v>0</v>
      </c>
      <c r="V53" s="25">
        <f t="shared" si="15"/>
        <v>0</v>
      </c>
      <c r="W53" s="25">
        <f t="shared" si="15"/>
        <v>0</v>
      </c>
      <c r="X53" s="25">
        <f t="shared" si="15"/>
        <v>0</v>
      </c>
      <c r="Y53" s="25">
        <f t="shared" si="15"/>
        <v>0</v>
      </c>
      <c r="Z53" s="25">
        <f t="shared" si="15"/>
        <v>0</v>
      </c>
      <c r="AA53" s="25">
        <f t="shared" si="15"/>
        <v>0</v>
      </c>
      <c r="AB53" s="25">
        <f t="shared" si="15"/>
        <v>0</v>
      </c>
      <c r="AC53" s="25">
        <f t="shared" si="15"/>
        <v>0</v>
      </c>
      <c r="AD53" s="25">
        <f t="shared" si="15"/>
        <v>0</v>
      </c>
      <c r="AE53" s="24">
        <f t="shared" si="15"/>
        <v>0</v>
      </c>
      <c r="AF53" s="24">
        <f t="shared" si="15"/>
        <v>0</v>
      </c>
      <c r="AG53" s="24">
        <f t="shared" si="15"/>
        <v>0</v>
      </c>
      <c r="AH53" s="24">
        <f t="shared" si="15"/>
        <v>0</v>
      </c>
      <c r="AI53" s="24">
        <f t="shared" si="15"/>
        <v>0</v>
      </c>
      <c r="AJ53" s="24">
        <f t="shared" si="15"/>
        <v>0</v>
      </c>
      <c r="AK53" s="24">
        <f t="shared" si="15"/>
        <v>0</v>
      </c>
      <c r="AL53" s="24">
        <f t="shared" si="15"/>
        <v>0</v>
      </c>
      <c r="AM53" s="24">
        <f t="shared" si="15"/>
        <v>0</v>
      </c>
      <c r="AN53" s="24">
        <f t="shared" si="15"/>
        <v>0</v>
      </c>
      <c r="AO53" s="24">
        <f t="shared" si="15"/>
        <v>0</v>
      </c>
      <c r="AP53" s="24">
        <f t="shared" si="15"/>
        <v>0</v>
      </c>
    </row>
    <row r="54" spans="1:42" hidden="1" outlineLevel="1">
      <c r="A54" s="22">
        <f t="shared" si="14"/>
        <v>0</v>
      </c>
      <c r="B54" s="30">
        <f>IF(Cuestionario!$C$70="si",0,+Catálogo!D10)</f>
        <v>0</v>
      </c>
      <c r="G54" s="24">
        <f t="shared" si="15"/>
        <v>0</v>
      </c>
      <c r="H54" s="24">
        <f t="shared" si="15"/>
        <v>0</v>
      </c>
      <c r="I54" s="24">
        <f t="shared" si="15"/>
        <v>0</v>
      </c>
      <c r="J54" s="24">
        <f t="shared" si="15"/>
        <v>0</v>
      </c>
      <c r="K54" s="24">
        <f t="shared" si="15"/>
        <v>0</v>
      </c>
      <c r="L54" s="24">
        <f t="shared" si="15"/>
        <v>0</v>
      </c>
      <c r="M54" s="24">
        <f t="shared" si="15"/>
        <v>0</v>
      </c>
      <c r="N54" s="24">
        <f t="shared" si="15"/>
        <v>0</v>
      </c>
      <c r="O54" s="24">
        <f t="shared" si="15"/>
        <v>0</v>
      </c>
      <c r="P54" s="24">
        <f t="shared" si="15"/>
        <v>0</v>
      </c>
      <c r="Q54" s="24">
        <f t="shared" si="15"/>
        <v>0</v>
      </c>
      <c r="R54" s="24">
        <f t="shared" si="15"/>
        <v>0</v>
      </c>
      <c r="S54" s="25">
        <f t="shared" si="15"/>
        <v>0</v>
      </c>
      <c r="T54" s="25">
        <f t="shared" si="15"/>
        <v>0</v>
      </c>
      <c r="U54" s="25">
        <f t="shared" si="15"/>
        <v>0</v>
      </c>
      <c r="V54" s="25">
        <f t="shared" si="15"/>
        <v>0</v>
      </c>
      <c r="W54" s="25">
        <f t="shared" si="15"/>
        <v>0</v>
      </c>
      <c r="X54" s="25">
        <f t="shared" si="15"/>
        <v>0</v>
      </c>
      <c r="Y54" s="25">
        <f t="shared" si="15"/>
        <v>0</v>
      </c>
      <c r="Z54" s="25">
        <f t="shared" si="15"/>
        <v>0</v>
      </c>
      <c r="AA54" s="25">
        <f t="shared" si="15"/>
        <v>0</v>
      </c>
      <c r="AB54" s="25">
        <f t="shared" si="15"/>
        <v>0</v>
      </c>
      <c r="AC54" s="25">
        <f t="shared" si="15"/>
        <v>0</v>
      </c>
      <c r="AD54" s="25">
        <f t="shared" si="15"/>
        <v>0</v>
      </c>
      <c r="AE54" s="24">
        <f t="shared" si="15"/>
        <v>0</v>
      </c>
      <c r="AF54" s="24">
        <f t="shared" si="15"/>
        <v>0</v>
      </c>
      <c r="AG54" s="24">
        <f t="shared" si="15"/>
        <v>0</v>
      </c>
      <c r="AH54" s="24">
        <f t="shared" si="15"/>
        <v>0</v>
      </c>
      <c r="AI54" s="24">
        <f t="shared" si="15"/>
        <v>0</v>
      </c>
      <c r="AJ54" s="24">
        <f t="shared" si="15"/>
        <v>0</v>
      </c>
      <c r="AK54" s="24">
        <f t="shared" si="15"/>
        <v>0</v>
      </c>
      <c r="AL54" s="24">
        <f t="shared" si="15"/>
        <v>0</v>
      </c>
      <c r="AM54" s="24">
        <f t="shared" si="15"/>
        <v>0</v>
      </c>
      <c r="AN54" s="24">
        <f t="shared" si="15"/>
        <v>0</v>
      </c>
      <c r="AO54" s="24">
        <f t="shared" si="15"/>
        <v>0</v>
      </c>
      <c r="AP54" s="24">
        <f t="shared" si="15"/>
        <v>0</v>
      </c>
    </row>
    <row r="55" spans="1:42" hidden="1" outlineLevel="1">
      <c r="A55" s="22">
        <f t="shared" si="14"/>
        <v>0</v>
      </c>
      <c r="B55" s="30">
        <f>IF(Cuestionario!$C$70="si",0,+Catálogo!D11)</f>
        <v>0</v>
      </c>
      <c r="G55" s="24">
        <f t="shared" si="15"/>
        <v>0</v>
      </c>
      <c r="H55" s="24">
        <f t="shared" si="15"/>
        <v>0</v>
      </c>
      <c r="I55" s="24">
        <f t="shared" si="15"/>
        <v>0</v>
      </c>
      <c r="J55" s="24">
        <f t="shared" si="15"/>
        <v>0</v>
      </c>
      <c r="K55" s="24">
        <f t="shared" si="15"/>
        <v>0</v>
      </c>
      <c r="L55" s="24">
        <f t="shared" si="15"/>
        <v>0</v>
      </c>
      <c r="M55" s="24">
        <f t="shared" si="15"/>
        <v>0</v>
      </c>
      <c r="N55" s="24">
        <f t="shared" si="15"/>
        <v>0</v>
      </c>
      <c r="O55" s="24">
        <f t="shared" si="15"/>
        <v>0</v>
      </c>
      <c r="P55" s="24">
        <f t="shared" si="15"/>
        <v>0</v>
      </c>
      <c r="Q55" s="24">
        <f t="shared" si="15"/>
        <v>0</v>
      </c>
      <c r="R55" s="24">
        <f t="shared" si="15"/>
        <v>0</v>
      </c>
      <c r="S55" s="25">
        <f t="shared" si="15"/>
        <v>0</v>
      </c>
      <c r="T55" s="25">
        <f t="shared" si="15"/>
        <v>0</v>
      </c>
      <c r="U55" s="25">
        <f t="shared" si="15"/>
        <v>0</v>
      </c>
      <c r="V55" s="25">
        <f t="shared" si="15"/>
        <v>0</v>
      </c>
      <c r="W55" s="25">
        <f t="shared" si="15"/>
        <v>0</v>
      </c>
      <c r="X55" s="25">
        <f t="shared" si="15"/>
        <v>0</v>
      </c>
      <c r="Y55" s="25">
        <f t="shared" si="15"/>
        <v>0</v>
      </c>
      <c r="Z55" s="25">
        <f t="shared" si="15"/>
        <v>0</v>
      </c>
      <c r="AA55" s="25">
        <f t="shared" si="15"/>
        <v>0</v>
      </c>
      <c r="AB55" s="25">
        <f t="shared" si="15"/>
        <v>0</v>
      </c>
      <c r="AC55" s="25">
        <f t="shared" si="15"/>
        <v>0</v>
      </c>
      <c r="AD55" s="25">
        <f t="shared" si="15"/>
        <v>0</v>
      </c>
      <c r="AE55" s="24">
        <f t="shared" si="15"/>
        <v>0</v>
      </c>
      <c r="AF55" s="24">
        <f t="shared" si="15"/>
        <v>0</v>
      </c>
      <c r="AG55" s="24">
        <f t="shared" si="15"/>
        <v>0</v>
      </c>
      <c r="AH55" s="24">
        <f t="shared" si="15"/>
        <v>0</v>
      </c>
      <c r="AI55" s="24">
        <f t="shared" si="15"/>
        <v>0</v>
      </c>
      <c r="AJ55" s="24">
        <f t="shared" si="15"/>
        <v>0</v>
      </c>
      <c r="AK55" s="24">
        <f t="shared" si="15"/>
        <v>0</v>
      </c>
      <c r="AL55" s="24">
        <f t="shared" si="15"/>
        <v>0</v>
      </c>
      <c r="AM55" s="24">
        <f t="shared" si="15"/>
        <v>0</v>
      </c>
      <c r="AN55" s="24">
        <f t="shared" si="15"/>
        <v>0</v>
      </c>
      <c r="AO55" s="24">
        <f t="shared" si="15"/>
        <v>0</v>
      </c>
      <c r="AP55" s="24">
        <f t="shared" si="15"/>
        <v>0</v>
      </c>
    </row>
    <row r="56" spans="1:42" hidden="1" outlineLevel="1">
      <c r="A56" s="22">
        <f t="shared" si="14"/>
        <v>0</v>
      </c>
      <c r="B56" s="30">
        <f>IF(Cuestionario!$C$70="si",0,+Catálogo!D12)</f>
        <v>0</v>
      </c>
      <c r="G56" s="24">
        <f t="shared" si="15"/>
        <v>0</v>
      </c>
      <c r="H56" s="24">
        <f t="shared" si="15"/>
        <v>0</v>
      </c>
      <c r="I56" s="24">
        <f t="shared" si="15"/>
        <v>0</v>
      </c>
      <c r="J56" s="24">
        <f t="shared" si="15"/>
        <v>0</v>
      </c>
      <c r="K56" s="24">
        <f t="shared" si="15"/>
        <v>0</v>
      </c>
      <c r="L56" s="24">
        <f t="shared" si="15"/>
        <v>0</v>
      </c>
      <c r="M56" s="24">
        <f t="shared" si="15"/>
        <v>0</v>
      </c>
      <c r="N56" s="24">
        <f t="shared" si="15"/>
        <v>0</v>
      </c>
      <c r="O56" s="24">
        <f t="shared" si="15"/>
        <v>0</v>
      </c>
      <c r="P56" s="24">
        <f t="shared" si="15"/>
        <v>0</v>
      </c>
      <c r="Q56" s="24">
        <f t="shared" si="15"/>
        <v>0</v>
      </c>
      <c r="R56" s="24">
        <f t="shared" si="15"/>
        <v>0</v>
      </c>
      <c r="S56" s="25">
        <f t="shared" si="15"/>
        <v>0</v>
      </c>
      <c r="T56" s="25">
        <f t="shared" si="15"/>
        <v>0</v>
      </c>
      <c r="U56" s="25">
        <f t="shared" si="15"/>
        <v>0</v>
      </c>
      <c r="V56" s="25">
        <f t="shared" si="15"/>
        <v>0</v>
      </c>
      <c r="W56" s="25">
        <f t="shared" si="15"/>
        <v>0</v>
      </c>
      <c r="X56" s="25">
        <f t="shared" si="15"/>
        <v>0</v>
      </c>
      <c r="Y56" s="25">
        <f t="shared" si="15"/>
        <v>0</v>
      </c>
      <c r="Z56" s="25">
        <f t="shared" si="15"/>
        <v>0</v>
      </c>
      <c r="AA56" s="25">
        <f t="shared" si="15"/>
        <v>0</v>
      </c>
      <c r="AB56" s="25">
        <f t="shared" si="15"/>
        <v>0</v>
      </c>
      <c r="AC56" s="25">
        <f t="shared" si="15"/>
        <v>0</v>
      </c>
      <c r="AD56" s="25">
        <f t="shared" si="15"/>
        <v>0</v>
      </c>
      <c r="AE56" s="24">
        <f t="shared" si="15"/>
        <v>0</v>
      </c>
      <c r="AF56" s="24">
        <f t="shared" si="15"/>
        <v>0</v>
      </c>
      <c r="AG56" s="24">
        <f t="shared" si="15"/>
        <v>0</v>
      </c>
      <c r="AH56" s="24">
        <f t="shared" si="15"/>
        <v>0</v>
      </c>
      <c r="AI56" s="24">
        <f t="shared" si="15"/>
        <v>0</v>
      </c>
      <c r="AJ56" s="24">
        <f t="shared" si="15"/>
        <v>0</v>
      </c>
      <c r="AK56" s="24">
        <f t="shared" si="15"/>
        <v>0</v>
      </c>
      <c r="AL56" s="24">
        <f t="shared" si="15"/>
        <v>0</v>
      </c>
      <c r="AM56" s="24">
        <f t="shared" si="15"/>
        <v>0</v>
      </c>
      <c r="AN56" s="24">
        <f t="shared" si="15"/>
        <v>0</v>
      </c>
      <c r="AO56" s="24">
        <f t="shared" si="15"/>
        <v>0</v>
      </c>
      <c r="AP56" s="24">
        <f t="shared" si="15"/>
        <v>0</v>
      </c>
    </row>
    <row r="57" spans="1:42" hidden="1" outlineLevel="1">
      <c r="A57" s="22">
        <f t="shared" si="14"/>
        <v>0</v>
      </c>
      <c r="B57" s="30">
        <f>IF(Cuestionario!$C$70="si",0,+Catálogo!D13)</f>
        <v>0</v>
      </c>
      <c r="G57" s="24">
        <f t="shared" si="15"/>
        <v>0</v>
      </c>
      <c r="H57" s="24">
        <f t="shared" si="15"/>
        <v>0</v>
      </c>
      <c r="I57" s="24">
        <f t="shared" si="15"/>
        <v>0</v>
      </c>
      <c r="J57" s="24">
        <f t="shared" ref="H57:AP64" si="16">+J25*$B57</f>
        <v>0</v>
      </c>
      <c r="K57" s="24">
        <f t="shared" si="16"/>
        <v>0</v>
      </c>
      <c r="L57" s="24">
        <f t="shared" si="16"/>
        <v>0</v>
      </c>
      <c r="M57" s="24">
        <f t="shared" si="16"/>
        <v>0</v>
      </c>
      <c r="N57" s="24">
        <f t="shared" si="16"/>
        <v>0</v>
      </c>
      <c r="O57" s="24">
        <f t="shared" si="16"/>
        <v>0</v>
      </c>
      <c r="P57" s="24">
        <f t="shared" si="16"/>
        <v>0</v>
      </c>
      <c r="Q57" s="24">
        <f t="shared" si="16"/>
        <v>0</v>
      </c>
      <c r="R57" s="24">
        <f t="shared" si="16"/>
        <v>0</v>
      </c>
      <c r="S57" s="25">
        <f t="shared" si="16"/>
        <v>0</v>
      </c>
      <c r="T57" s="25">
        <f t="shared" si="16"/>
        <v>0</v>
      </c>
      <c r="U57" s="25">
        <f t="shared" si="16"/>
        <v>0</v>
      </c>
      <c r="V57" s="25">
        <f t="shared" si="16"/>
        <v>0</v>
      </c>
      <c r="W57" s="25">
        <f t="shared" si="16"/>
        <v>0</v>
      </c>
      <c r="X57" s="25">
        <f t="shared" si="16"/>
        <v>0</v>
      </c>
      <c r="Y57" s="25">
        <f t="shared" si="16"/>
        <v>0</v>
      </c>
      <c r="Z57" s="25">
        <f t="shared" si="16"/>
        <v>0</v>
      </c>
      <c r="AA57" s="25">
        <f t="shared" si="16"/>
        <v>0</v>
      </c>
      <c r="AB57" s="25">
        <f t="shared" si="16"/>
        <v>0</v>
      </c>
      <c r="AC57" s="25">
        <f t="shared" si="16"/>
        <v>0</v>
      </c>
      <c r="AD57" s="25">
        <f t="shared" si="16"/>
        <v>0</v>
      </c>
      <c r="AE57" s="24">
        <f t="shared" si="16"/>
        <v>0</v>
      </c>
      <c r="AF57" s="24">
        <f t="shared" si="16"/>
        <v>0</v>
      </c>
      <c r="AG57" s="24">
        <f t="shared" si="16"/>
        <v>0</v>
      </c>
      <c r="AH57" s="24">
        <f t="shared" si="16"/>
        <v>0</v>
      </c>
      <c r="AI57" s="24">
        <f t="shared" si="16"/>
        <v>0</v>
      </c>
      <c r="AJ57" s="24">
        <f t="shared" si="16"/>
        <v>0</v>
      </c>
      <c r="AK57" s="24">
        <f t="shared" si="16"/>
        <v>0</v>
      </c>
      <c r="AL57" s="24">
        <f t="shared" si="16"/>
        <v>0</v>
      </c>
      <c r="AM57" s="24">
        <f t="shared" si="16"/>
        <v>0</v>
      </c>
      <c r="AN57" s="24">
        <f t="shared" si="16"/>
        <v>0</v>
      </c>
      <c r="AO57" s="24">
        <f t="shared" si="16"/>
        <v>0</v>
      </c>
      <c r="AP57" s="24">
        <f t="shared" si="16"/>
        <v>0</v>
      </c>
    </row>
    <row r="58" spans="1:42" hidden="1" outlineLevel="1">
      <c r="A58" s="22">
        <f t="shared" si="14"/>
        <v>0</v>
      </c>
      <c r="B58" s="30">
        <f>IF(Cuestionario!$C$70="si",0,+Catálogo!D14)</f>
        <v>0</v>
      </c>
      <c r="G58" s="24">
        <f t="shared" ref="G58:G64" si="17">+G26*$B58</f>
        <v>0</v>
      </c>
      <c r="H58" s="24">
        <f t="shared" si="16"/>
        <v>0</v>
      </c>
      <c r="I58" s="24">
        <f t="shared" si="16"/>
        <v>0</v>
      </c>
      <c r="J58" s="24">
        <f t="shared" si="16"/>
        <v>0</v>
      </c>
      <c r="K58" s="24">
        <f t="shared" si="16"/>
        <v>0</v>
      </c>
      <c r="L58" s="24">
        <f t="shared" si="16"/>
        <v>0</v>
      </c>
      <c r="M58" s="24">
        <f t="shared" si="16"/>
        <v>0</v>
      </c>
      <c r="N58" s="24">
        <f t="shared" si="16"/>
        <v>0</v>
      </c>
      <c r="O58" s="24">
        <f t="shared" si="16"/>
        <v>0</v>
      </c>
      <c r="P58" s="24">
        <f t="shared" si="16"/>
        <v>0</v>
      </c>
      <c r="Q58" s="24">
        <f t="shared" si="16"/>
        <v>0</v>
      </c>
      <c r="R58" s="24">
        <f t="shared" si="16"/>
        <v>0</v>
      </c>
      <c r="S58" s="25">
        <f t="shared" si="16"/>
        <v>0</v>
      </c>
      <c r="T58" s="25">
        <f t="shared" si="16"/>
        <v>0</v>
      </c>
      <c r="U58" s="25">
        <f t="shared" si="16"/>
        <v>0</v>
      </c>
      <c r="V58" s="25">
        <f t="shared" si="16"/>
        <v>0</v>
      </c>
      <c r="W58" s="25">
        <f t="shared" si="16"/>
        <v>0</v>
      </c>
      <c r="X58" s="25">
        <f t="shared" si="16"/>
        <v>0</v>
      </c>
      <c r="Y58" s="25">
        <f t="shared" si="16"/>
        <v>0</v>
      </c>
      <c r="Z58" s="25">
        <f t="shared" si="16"/>
        <v>0</v>
      </c>
      <c r="AA58" s="25">
        <f t="shared" si="16"/>
        <v>0</v>
      </c>
      <c r="AB58" s="25">
        <f t="shared" si="16"/>
        <v>0</v>
      </c>
      <c r="AC58" s="25">
        <f t="shared" si="16"/>
        <v>0</v>
      </c>
      <c r="AD58" s="25">
        <f t="shared" si="16"/>
        <v>0</v>
      </c>
      <c r="AE58" s="24">
        <f t="shared" si="16"/>
        <v>0</v>
      </c>
      <c r="AF58" s="24">
        <f t="shared" si="16"/>
        <v>0</v>
      </c>
      <c r="AG58" s="24">
        <f t="shared" si="16"/>
        <v>0</v>
      </c>
      <c r="AH58" s="24">
        <f t="shared" si="16"/>
        <v>0</v>
      </c>
      <c r="AI58" s="24">
        <f t="shared" si="16"/>
        <v>0</v>
      </c>
      <c r="AJ58" s="24">
        <f t="shared" si="16"/>
        <v>0</v>
      </c>
      <c r="AK58" s="24">
        <f t="shared" si="16"/>
        <v>0</v>
      </c>
      <c r="AL58" s="24">
        <f t="shared" si="16"/>
        <v>0</v>
      </c>
      <c r="AM58" s="24">
        <f t="shared" si="16"/>
        <v>0</v>
      </c>
      <c r="AN58" s="24">
        <f t="shared" si="16"/>
        <v>0</v>
      </c>
      <c r="AO58" s="24">
        <f t="shared" si="16"/>
        <v>0</v>
      </c>
      <c r="AP58" s="24">
        <f t="shared" si="16"/>
        <v>0</v>
      </c>
    </row>
    <row r="59" spans="1:42" hidden="1" outlineLevel="1">
      <c r="A59" s="22">
        <f t="shared" si="14"/>
        <v>0</v>
      </c>
      <c r="B59" s="30">
        <f>IF(Cuestionario!$C$70="si",0,+Catálogo!D15)</f>
        <v>0</v>
      </c>
      <c r="G59" s="24">
        <f t="shared" si="17"/>
        <v>0</v>
      </c>
      <c r="H59" s="24">
        <f t="shared" si="16"/>
        <v>0</v>
      </c>
      <c r="I59" s="24">
        <f t="shared" si="16"/>
        <v>0</v>
      </c>
      <c r="J59" s="24">
        <f t="shared" si="16"/>
        <v>0</v>
      </c>
      <c r="K59" s="24">
        <f t="shared" si="16"/>
        <v>0</v>
      </c>
      <c r="L59" s="24">
        <f t="shared" si="16"/>
        <v>0</v>
      </c>
      <c r="M59" s="24">
        <f t="shared" si="16"/>
        <v>0</v>
      </c>
      <c r="N59" s="24">
        <f t="shared" si="16"/>
        <v>0</v>
      </c>
      <c r="O59" s="24">
        <f t="shared" si="16"/>
        <v>0</v>
      </c>
      <c r="P59" s="24">
        <f t="shared" si="16"/>
        <v>0</v>
      </c>
      <c r="Q59" s="24">
        <f t="shared" si="16"/>
        <v>0</v>
      </c>
      <c r="R59" s="24">
        <f t="shared" si="16"/>
        <v>0</v>
      </c>
      <c r="S59" s="25">
        <f t="shared" si="16"/>
        <v>0</v>
      </c>
      <c r="T59" s="25">
        <f t="shared" si="16"/>
        <v>0</v>
      </c>
      <c r="U59" s="25">
        <f t="shared" si="16"/>
        <v>0</v>
      </c>
      <c r="V59" s="25">
        <f t="shared" si="16"/>
        <v>0</v>
      </c>
      <c r="W59" s="25">
        <f t="shared" si="16"/>
        <v>0</v>
      </c>
      <c r="X59" s="25">
        <f t="shared" si="16"/>
        <v>0</v>
      </c>
      <c r="Y59" s="25">
        <f t="shared" si="16"/>
        <v>0</v>
      </c>
      <c r="Z59" s="25">
        <f t="shared" si="16"/>
        <v>0</v>
      </c>
      <c r="AA59" s="25">
        <f t="shared" si="16"/>
        <v>0</v>
      </c>
      <c r="AB59" s="25">
        <f t="shared" si="16"/>
        <v>0</v>
      </c>
      <c r="AC59" s="25">
        <f t="shared" si="16"/>
        <v>0</v>
      </c>
      <c r="AD59" s="25">
        <f t="shared" si="16"/>
        <v>0</v>
      </c>
      <c r="AE59" s="24">
        <f t="shared" si="16"/>
        <v>0</v>
      </c>
      <c r="AF59" s="24">
        <f t="shared" si="16"/>
        <v>0</v>
      </c>
      <c r="AG59" s="24">
        <f t="shared" si="16"/>
        <v>0</v>
      </c>
      <c r="AH59" s="24">
        <f t="shared" si="16"/>
        <v>0</v>
      </c>
      <c r="AI59" s="24">
        <f t="shared" si="16"/>
        <v>0</v>
      </c>
      <c r="AJ59" s="24">
        <f t="shared" si="16"/>
        <v>0</v>
      </c>
      <c r="AK59" s="24">
        <f t="shared" si="16"/>
        <v>0</v>
      </c>
      <c r="AL59" s="24">
        <f t="shared" si="16"/>
        <v>0</v>
      </c>
      <c r="AM59" s="24">
        <f t="shared" si="16"/>
        <v>0</v>
      </c>
      <c r="AN59" s="24">
        <f t="shared" si="16"/>
        <v>0</v>
      </c>
      <c r="AO59" s="24">
        <f t="shared" si="16"/>
        <v>0</v>
      </c>
      <c r="AP59" s="24">
        <f t="shared" si="16"/>
        <v>0</v>
      </c>
    </row>
    <row r="60" spans="1:42" hidden="1" outlineLevel="1">
      <c r="A60" s="22">
        <f t="shared" si="14"/>
        <v>0</v>
      </c>
      <c r="B60" s="30">
        <f>IF(Cuestionario!$C$70="si",0,+Catálogo!D16)</f>
        <v>0</v>
      </c>
      <c r="G60" s="24">
        <f t="shared" si="17"/>
        <v>0</v>
      </c>
      <c r="H60" s="24">
        <f t="shared" si="16"/>
        <v>0</v>
      </c>
      <c r="I60" s="24">
        <f t="shared" si="16"/>
        <v>0</v>
      </c>
      <c r="J60" s="24">
        <f t="shared" si="16"/>
        <v>0</v>
      </c>
      <c r="K60" s="24">
        <f t="shared" si="16"/>
        <v>0</v>
      </c>
      <c r="L60" s="24">
        <f t="shared" si="16"/>
        <v>0</v>
      </c>
      <c r="M60" s="24">
        <f t="shared" si="16"/>
        <v>0</v>
      </c>
      <c r="N60" s="24">
        <f t="shared" si="16"/>
        <v>0</v>
      </c>
      <c r="O60" s="24">
        <f t="shared" si="16"/>
        <v>0</v>
      </c>
      <c r="P60" s="24">
        <f t="shared" si="16"/>
        <v>0</v>
      </c>
      <c r="Q60" s="24">
        <f t="shared" si="16"/>
        <v>0</v>
      </c>
      <c r="R60" s="24">
        <f t="shared" si="16"/>
        <v>0</v>
      </c>
      <c r="S60" s="25">
        <f t="shared" si="16"/>
        <v>0</v>
      </c>
      <c r="T60" s="25">
        <f t="shared" si="16"/>
        <v>0</v>
      </c>
      <c r="U60" s="25">
        <f t="shared" si="16"/>
        <v>0</v>
      </c>
      <c r="V60" s="25">
        <f t="shared" si="16"/>
        <v>0</v>
      </c>
      <c r="W60" s="25">
        <f t="shared" si="16"/>
        <v>0</v>
      </c>
      <c r="X60" s="25">
        <f t="shared" si="16"/>
        <v>0</v>
      </c>
      <c r="Y60" s="25">
        <f t="shared" si="16"/>
        <v>0</v>
      </c>
      <c r="Z60" s="25">
        <f t="shared" si="16"/>
        <v>0</v>
      </c>
      <c r="AA60" s="25">
        <f t="shared" si="16"/>
        <v>0</v>
      </c>
      <c r="AB60" s="25">
        <f t="shared" si="16"/>
        <v>0</v>
      </c>
      <c r="AC60" s="25">
        <f t="shared" si="16"/>
        <v>0</v>
      </c>
      <c r="AD60" s="25">
        <f t="shared" si="16"/>
        <v>0</v>
      </c>
      <c r="AE60" s="24">
        <f t="shared" si="16"/>
        <v>0</v>
      </c>
      <c r="AF60" s="24">
        <f t="shared" si="16"/>
        <v>0</v>
      </c>
      <c r="AG60" s="24">
        <f t="shared" si="16"/>
        <v>0</v>
      </c>
      <c r="AH60" s="24">
        <f t="shared" si="16"/>
        <v>0</v>
      </c>
      <c r="AI60" s="24">
        <f t="shared" si="16"/>
        <v>0</v>
      </c>
      <c r="AJ60" s="24">
        <f t="shared" si="16"/>
        <v>0</v>
      </c>
      <c r="AK60" s="24">
        <f t="shared" si="16"/>
        <v>0</v>
      </c>
      <c r="AL60" s="24">
        <f t="shared" si="16"/>
        <v>0</v>
      </c>
      <c r="AM60" s="24">
        <f t="shared" si="16"/>
        <v>0</v>
      </c>
      <c r="AN60" s="24">
        <f t="shared" si="16"/>
        <v>0</v>
      </c>
      <c r="AO60" s="24">
        <f t="shared" si="16"/>
        <v>0</v>
      </c>
      <c r="AP60" s="24">
        <f t="shared" si="16"/>
        <v>0</v>
      </c>
    </row>
    <row r="61" spans="1:42" hidden="1" outlineLevel="1">
      <c r="A61" s="22">
        <f t="shared" si="14"/>
        <v>0</v>
      </c>
      <c r="B61" s="30">
        <f>IF(Cuestionario!$C$70="si",0,+Catálogo!D17)</f>
        <v>0</v>
      </c>
      <c r="G61" s="24">
        <f t="shared" si="17"/>
        <v>0</v>
      </c>
      <c r="H61" s="24">
        <f t="shared" si="16"/>
        <v>0</v>
      </c>
      <c r="I61" s="24">
        <f t="shared" si="16"/>
        <v>0</v>
      </c>
      <c r="J61" s="24">
        <f t="shared" si="16"/>
        <v>0</v>
      </c>
      <c r="K61" s="24">
        <f t="shared" si="16"/>
        <v>0</v>
      </c>
      <c r="L61" s="24">
        <f t="shared" si="16"/>
        <v>0</v>
      </c>
      <c r="M61" s="24">
        <f t="shared" si="16"/>
        <v>0</v>
      </c>
      <c r="N61" s="24">
        <f t="shared" si="16"/>
        <v>0</v>
      </c>
      <c r="O61" s="24">
        <f t="shared" si="16"/>
        <v>0</v>
      </c>
      <c r="P61" s="24">
        <f t="shared" si="16"/>
        <v>0</v>
      </c>
      <c r="Q61" s="24">
        <f t="shared" si="16"/>
        <v>0</v>
      </c>
      <c r="R61" s="24">
        <f t="shared" si="16"/>
        <v>0</v>
      </c>
      <c r="S61" s="25">
        <f t="shared" si="16"/>
        <v>0</v>
      </c>
      <c r="T61" s="25">
        <f t="shared" si="16"/>
        <v>0</v>
      </c>
      <c r="U61" s="25">
        <f t="shared" si="16"/>
        <v>0</v>
      </c>
      <c r="V61" s="25">
        <f t="shared" si="16"/>
        <v>0</v>
      </c>
      <c r="W61" s="25">
        <f t="shared" si="16"/>
        <v>0</v>
      </c>
      <c r="X61" s="25">
        <f t="shared" si="16"/>
        <v>0</v>
      </c>
      <c r="Y61" s="25">
        <f t="shared" si="16"/>
        <v>0</v>
      </c>
      <c r="Z61" s="25">
        <f t="shared" si="16"/>
        <v>0</v>
      </c>
      <c r="AA61" s="25">
        <f t="shared" si="16"/>
        <v>0</v>
      </c>
      <c r="AB61" s="25">
        <f t="shared" si="16"/>
        <v>0</v>
      </c>
      <c r="AC61" s="25">
        <f t="shared" si="16"/>
        <v>0</v>
      </c>
      <c r="AD61" s="25">
        <f t="shared" si="16"/>
        <v>0</v>
      </c>
      <c r="AE61" s="24">
        <f t="shared" si="16"/>
        <v>0</v>
      </c>
      <c r="AF61" s="24">
        <f t="shared" si="16"/>
        <v>0</v>
      </c>
      <c r="AG61" s="24">
        <f t="shared" si="16"/>
        <v>0</v>
      </c>
      <c r="AH61" s="24">
        <f t="shared" si="16"/>
        <v>0</v>
      </c>
      <c r="AI61" s="24">
        <f t="shared" si="16"/>
        <v>0</v>
      </c>
      <c r="AJ61" s="24">
        <f t="shared" si="16"/>
        <v>0</v>
      </c>
      <c r="AK61" s="24">
        <f t="shared" si="16"/>
        <v>0</v>
      </c>
      <c r="AL61" s="24">
        <f t="shared" si="16"/>
        <v>0</v>
      </c>
      <c r="AM61" s="24">
        <f t="shared" si="16"/>
        <v>0</v>
      </c>
      <c r="AN61" s="24">
        <f t="shared" si="16"/>
        <v>0</v>
      </c>
      <c r="AO61" s="24">
        <f t="shared" si="16"/>
        <v>0</v>
      </c>
      <c r="AP61" s="24">
        <f t="shared" si="16"/>
        <v>0</v>
      </c>
    </row>
    <row r="62" spans="1:42" hidden="1" outlineLevel="1">
      <c r="A62" s="22">
        <f t="shared" si="14"/>
        <v>0</v>
      </c>
      <c r="B62" s="30">
        <f>IF(Cuestionario!$C$70="si",0,+Catálogo!D18)</f>
        <v>0</v>
      </c>
      <c r="G62" s="24">
        <f t="shared" si="17"/>
        <v>0</v>
      </c>
      <c r="H62" s="24">
        <f t="shared" si="16"/>
        <v>0</v>
      </c>
      <c r="I62" s="24">
        <f t="shared" si="16"/>
        <v>0</v>
      </c>
      <c r="J62" s="24">
        <f t="shared" si="16"/>
        <v>0</v>
      </c>
      <c r="K62" s="24">
        <f t="shared" si="16"/>
        <v>0</v>
      </c>
      <c r="L62" s="24">
        <f t="shared" si="16"/>
        <v>0</v>
      </c>
      <c r="M62" s="24">
        <f t="shared" si="16"/>
        <v>0</v>
      </c>
      <c r="N62" s="24">
        <f t="shared" si="16"/>
        <v>0</v>
      </c>
      <c r="O62" s="24">
        <f t="shared" si="16"/>
        <v>0</v>
      </c>
      <c r="P62" s="24">
        <f t="shared" si="16"/>
        <v>0</v>
      </c>
      <c r="Q62" s="24">
        <f t="shared" si="16"/>
        <v>0</v>
      </c>
      <c r="R62" s="24">
        <f t="shared" si="16"/>
        <v>0</v>
      </c>
      <c r="S62" s="25">
        <f t="shared" si="16"/>
        <v>0</v>
      </c>
      <c r="T62" s="25">
        <f t="shared" si="16"/>
        <v>0</v>
      </c>
      <c r="U62" s="25">
        <f t="shared" si="16"/>
        <v>0</v>
      </c>
      <c r="V62" s="25">
        <f t="shared" si="16"/>
        <v>0</v>
      </c>
      <c r="W62" s="25">
        <f t="shared" si="16"/>
        <v>0</v>
      </c>
      <c r="X62" s="25">
        <f t="shared" si="16"/>
        <v>0</v>
      </c>
      <c r="Y62" s="25">
        <f t="shared" si="16"/>
        <v>0</v>
      </c>
      <c r="Z62" s="25">
        <f t="shared" si="16"/>
        <v>0</v>
      </c>
      <c r="AA62" s="25">
        <f t="shared" si="16"/>
        <v>0</v>
      </c>
      <c r="AB62" s="25">
        <f t="shared" si="16"/>
        <v>0</v>
      </c>
      <c r="AC62" s="25">
        <f t="shared" si="16"/>
        <v>0</v>
      </c>
      <c r="AD62" s="25">
        <f t="shared" si="16"/>
        <v>0</v>
      </c>
      <c r="AE62" s="24">
        <f t="shared" si="16"/>
        <v>0</v>
      </c>
      <c r="AF62" s="24">
        <f t="shared" si="16"/>
        <v>0</v>
      </c>
      <c r="AG62" s="24">
        <f t="shared" si="16"/>
        <v>0</v>
      </c>
      <c r="AH62" s="24">
        <f t="shared" si="16"/>
        <v>0</v>
      </c>
      <c r="AI62" s="24">
        <f t="shared" si="16"/>
        <v>0</v>
      </c>
      <c r="AJ62" s="24">
        <f t="shared" si="16"/>
        <v>0</v>
      </c>
      <c r="AK62" s="24">
        <f t="shared" si="16"/>
        <v>0</v>
      </c>
      <c r="AL62" s="24">
        <f t="shared" si="16"/>
        <v>0</v>
      </c>
      <c r="AM62" s="24">
        <f t="shared" si="16"/>
        <v>0</v>
      </c>
      <c r="AN62" s="24">
        <f t="shared" si="16"/>
        <v>0</v>
      </c>
      <c r="AO62" s="24">
        <f t="shared" si="16"/>
        <v>0</v>
      </c>
      <c r="AP62" s="24">
        <f t="shared" si="16"/>
        <v>0</v>
      </c>
    </row>
    <row r="63" spans="1:42" hidden="1" outlineLevel="1">
      <c r="A63" s="22">
        <f t="shared" si="14"/>
        <v>0</v>
      </c>
      <c r="B63" s="30">
        <f>IF(Cuestionario!$C$70="si",0,+Catálogo!D19)</f>
        <v>0</v>
      </c>
      <c r="G63" s="24">
        <f t="shared" si="17"/>
        <v>0</v>
      </c>
      <c r="H63" s="24">
        <f t="shared" si="16"/>
        <v>0</v>
      </c>
      <c r="I63" s="24">
        <f t="shared" si="16"/>
        <v>0</v>
      </c>
      <c r="J63" s="24">
        <f t="shared" si="16"/>
        <v>0</v>
      </c>
      <c r="K63" s="24">
        <f t="shared" si="16"/>
        <v>0</v>
      </c>
      <c r="L63" s="24">
        <f t="shared" si="16"/>
        <v>0</v>
      </c>
      <c r="M63" s="24">
        <f t="shared" si="16"/>
        <v>0</v>
      </c>
      <c r="N63" s="24">
        <f t="shared" si="16"/>
        <v>0</v>
      </c>
      <c r="O63" s="24">
        <f t="shared" si="16"/>
        <v>0</v>
      </c>
      <c r="P63" s="24">
        <f t="shared" si="16"/>
        <v>0</v>
      </c>
      <c r="Q63" s="24">
        <f t="shared" si="16"/>
        <v>0</v>
      </c>
      <c r="R63" s="24">
        <f t="shared" si="16"/>
        <v>0</v>
      </c>
      <c r="S63" s="25">
        <f t="shared" si="16"/>
        <v>0</v>
      </c>
      <c r="T63" s="25">
        <f t="shared" si="16"/>
        <v>0</v>
      </c>
      <c r="U63" s="25">
        <f t="shared" si="16"/>
        <v>0</v>
      </c>
      <c r="V63" s="25">
        <f t="shared" si="16"/>
        <v>0</v>
      </c>
      <c r="W63" s="25">
        <f t="shared" si="16"/>
        <v>0</v>
      </c>
      <c r="X63" s="25">
        <f t="shared" si="16"/>
        <v>0</v>
      </c>
      <c r="Y63" s="25">
        <f t="shared" si="16"/>
        <v>0</v>
      </c>
      <c r="Z63" s="25">
        <f t="shared" si="16"/>
        <v>0</v>
      </c>
      <c r="AA63" s="25">
        <f t="shared" si="16"/>
        <v>0</v>
      </c>
      <c r="AB63" s="25">
        <f t="shared" si="16"/>
        <v>0</v>
      </c>
      <c r="AC63" s="25">
        <f t="shared" si="16"/>
        <v>0</v>
      </c>
      <c r="AD63" s="25">
        <f t="shared" si="16"/>
        <v>0</v>
      </c>
      <c r="AE63" s="24">
        <f t="shared" si="16"/>
        <v>0</v>
      </c>
      <c r="AF63" s="24">
        <f t="shared" si="16"/>
        <v>0</v>
      </c>
      <c r="AG63" s="24">
        <f t="shared" si="16"/>
        <v>0</v>
      </c>
      <c r="AH63" s="24">
        <f t="shared" si="16"/>
        <v>0</v>
      </c>
      <c r="AI63" s="24">
        <f t="shared" si="16"/>
        <v>0</v>
      </c>
      <c r="AJ63" s="24">
        <f t="shared" si="16"/>
        <v>0</v>
      </c>
      <c r="AK63" s="24">
        <f t="shared" si="16"/>
        <v>0</v>
      </c>
      <c r="AL63" s="24">
        <f t="shared" si="16"/>
        <v>0</v>
      </c>
      <c r="AM63" s="24">
        <f t="shared" si="16"/>
        <v>0</v>
      </c>
      <c r="AN63" s="24">
        <f t="shared" si="16"/>
        <v>0</v>
      </c>
      <c r="AO63" s="24">
        <f t="shared" si="16"/>
        <v>0</v>
      </c>
      <c r="AP63" s="24">
        <f t="shared" si="16"/>
        <v>0</v>
      </c>
    </row>
    <row r="64" spans="1:42" hidden="1" outlineLevel="1">
      <c r="A64" s="22">
        <f t="shared" si="14"/>
        <v>0</v>
      </c>
      <c r="B64" s="30">
        <f>IF(Cuestionario!$C$70="si",0,+Catálogo!D20)</f>
        <v>0</v>
      </c>
      <c r="G64" s="24">
        <f t="shared" si="17"/>
        <v>0</v>
      </c>
      <c r="H64" s="24">
        <f t="shared" si="16"/>
        <v>0</v>
      </c>
      <c r="I64" s="24">
        <f t="shared" si="16"/>
        <v>0</v>
      </c>
      <c r="J64" s="24">
        <f t="shared" si="16"/>
        <v>0</v>
      </c>
      <c r="K64" s="24">
        <f t="shared" si="16"/>
        <v>0</v>
      </c>
      <c r="L64" s="24">
        <f t="shared" si="16"/>
        <v>0</v>
      </c>
      <c r="M64" s="24">
        <f t="shared" si="16"/>
        <v>0</v>
      </c>
      <c r="N64" s="24">
        <f t="shared" si="16"/>
        <v>0</v>
      </c>
      <c r="O64" s="24">
        <f t="shared" si="16"/>
        <v>0</v>
      </c>
      <c r="P64" s="24">
        <f t="shared" si="16"/>
        <v>0</v>
      </c>
      <c r="Q64" s="24">
        <f t="shared" si="16"/>
        <v>0</v>
      </c>
      <c r="R64" s="24">
        <f t="shared" si="16"/>
        <v>0</v>
      </c>
      <c r="S64" s="25">
        <f t="shared" si="16"/>
        <v>0</v>
      </c>
      <c r="T64" s="25">
        <f t="shared" ref="T64:AP64" si="18">+T32*$B64</f>
        <v>0</v>
      </c>
      <c r="U64" s="25">
        <f t="shared" si="18"/>
        <v>0</v>
      </c>
      <c r="V64" s="25">
        <f t="shared" si="18"/>
        <v>0</v>
      </c>
      <c r="W64" s="25">
        <f t="shared" si="18"/>
        <v>0</v>
      </c>
      <c r="X64" s="25">
        <f t="shared" si="18"/>
        <v>0</v>
      </c>
      <c r="Y64" s="25">
        <f t="shared" si="18"/>
        <v>0</v>
      </c>
      <c r="Z64" s="25">
        <f t="shared" si="18"/>
        <v>0</v>
      </c>
      <c r="AA64" s="25">
        <f t="shared" si="18"/>
        <v>0</v>
      </c>
      <c r="AB64" s="25">
        <f t="shared" si="18"/>
        <v>0</v>
      </c>
      <c r="AC64" s="25">
        <f t="shared" si="18"/>
        <v>0</v>
      </c>
      <c r="AD64" s="25">
        <f t="shared" si="18"/>
        <v>0</v>
      </c>
      <c r="AE64" s="24">
        <f t="shared" si="18"/>
        <v>0</v>
      </c>
      <c r="AF64" s="24">
        <f t="shared" si="18"/>
        <v>0</v>
      </c>
      <c r="AG64" s="24">
        <f t="shared" si="18"/>
        <v>0</v>
      </c>
      <c r="AH64" s="24">
        <f t="shared" si="18"/>
        <v>0</v>
      </c>
      <c r="AI64" s="24">
        <f t="shared" si="18"/>
        <v>0</v>
      </c>
      <c r="AJ64" s="24">
        <f t="shared" si="18"/>
        <v>0</v>
      </c>
      <c r="AK64" s="24">
        <f t="shared" si="18"/>
        <v>0</v>
      </c>
      <c r="AL64" s="24">
        <f t="shared" si="18"/>
        <v>0</v>
      </c>
      <c r="AM64" s="24">
        <f t="shared" si="18"/>
        <v>0</v>
      </c>
      <c r="AN64" s="24">
        <f t="shared" si="18"/>
        <v>0</v>
      </c>
      <c r="AO64" s="24">
        <f t="shared" si="18"/>
        <v>0</v>
      </c>
      <c r="AP64" s="24">
        <f t="shared" si="18"/>
        <v>0</v>
      </c>
    </row>
    <row r="65" spans="1:42" s="26" customFormat="1" collapsed="1">
      <c r="A65" s="26" t="s">
        <v>84</v>
      </c>
      <c r="B65" s="29"/>
      <c r="G65" s="27">
        <f t="shared" ref="G65:AP65" si="19">SUM(G50:G59)</f>
        <v>0</v>
      </c>
      <c r="H65" s="27">
        <f>SUM(H50:H59)</f>
        <v>0</v>
      </c>
      <c r="I65" s="27">
        <f t="shared" si="19"/>
        <v>0</v>
      </c>
      <c r="J65" s="27">
        <f t="shared" si="19"/>
        <v>0</v>
      </c>
      <c r="K65" s="27">
        <f t="shared" si="19"/>
        <v>0</v>
      </c>
      <c r="L65" s="27">
        <f t="shared" si="19"/>
        <v>0</v>
      </c>
      <c r="M65" s="27">
        <f t="shared" si="19"/>
        <v>0</v>
      </c>
      <c r="N65" s="27">
        <f t="shared" si="19"/>
        <v>0</v>
      </c>
      <c r="O65" s="27">
        <f t="shared" si="19"/>
        <v>0</v>
      </c>
      <c r="P65" s="27">
        <f t="shared" si="19"/>
        <v>0</v>
      </c>
      <c r="Q65" s="27">
        <f t="shared" si="19"/>
        <v>0</v>
      </c>
      <c r="R65" s="27">
        <f t="shared" si="19"/>
        <v>0</v>
      </c>
      <c r="S65" s="28">
        <f t="shared" si="19"/>
        <v>0</v>
      </c>
      <c r="T65" s="28">
        <f t="shared" si="19"/>
        <v>0</v>
      </c>
      <c r="U65" s="28">
        <f t="shared" si="19"/>
        <v>0</v>
      </c>
      <c r="V65" s="28">
        <f t="shared" si="19"/>
        <v>0</v>
      </c>
      <c r="W65" s="28">
        <f t="shared" si="19"/>
        <v>0</v>
      </c>
      <c r="X65" s="28">
        <f t="shared" si="19"/>
        <v>0</v>
      </c>
      <c r="Y65" s="28">
        <f t="shared" si="19"/>
        <v>0</v>
      </c>
      <c r="Z65" s="28">
        <f t="shared" si="19"/>
        <v>0</v>
      </c>
      <c r="AA65" s="28">
        <f t="shared" si="19"/>
        <v>0</v>
      </c>
      <c r="AB65" s="28">
        <f t="shared" si="19"/>
        <v>0</v>
      </c>
      <c r="AC65" s="28">
        <f t="shared" si="19"/>
        <v>0</v>
      </c>
      <c r="AD65" s="28">
        <f t="shared" si="19"/>
        <v>0</v>
      </c>
      <c r="AE65" s="27">
        <f t="shared" si="19"/>
        <v>0</v>
      </c>
      <c r="AF65" s="27">
        <f t="shared" si="19"/>
        <v>0</v>
      </c>
      <c r="AG65" s="27">
        <f t="shared" si="19"/>
        <v>0</v>
      </c>
      <c r="AH65" s="27">
        <f t="shared" si="19"/>
        <v>0</v>
      </c>
      <c r="AI65" s="27">
        <f t="shared" si="19"/>
        <v>0</v>
      </c>
      <c r="AJ65" s="27">
        <f t="shared" si="19"/>
        <v>0</v>
      </c>
      <c r="AK65" s="27">
        <f t="shared" si="19"/>
        <v>0</v>
      </c>
      <c r="AL65" s="27">
        <f t="shared" si="19"/>
        <v>0</v>
      </c>
      <c r="AM65" s="27">
        <f t="shared" si="19"/>
        <v>0</v>
      </c>
      <c r="AN65" s="27">
        <f t="shared" si="19"/>
        <v>0</v>
      </c>
      <c r="AO65" s="27">
        <f t="shared" si="19"/>
        <v>0</v>
      </c>
      <c r="AP65" s="27">
        <f t="shared" si="19"/>
        <v>0</v>
      </c>
    </row>
    <row r="66" spans="1:42" ht="37.5">
      <c r="A66" s="18" t="s">
        <v>85</v>
      </c>
      <c r="B66" s="18" t="s">
        <v>86</v>
      </c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 t="s">
        <v>46</v>
      </c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</row>
    <row r="67" spans="1:42" hidden="1" outlineLevel="1">
      <c r="A67" s="21">
        <f t="shared" ref="A67:A81" si="20">+A2</f>
        <v>0</v>
      </c>
      <c r="G67" s="24">
        <f>IF(G2=0,0,(+G2*Catálogo!$H6))</f>
        <v>0</v>
      </c>
      <c r="H67" s="24">
        <f>IF(H2=0,0,(+H2*Catálogo!$H6))</f>
        <v>0</v>
      </c>
      <c r="I67" s="24">
        <f>IF(I2=0,0,(+I2*Catálogo!$H6))</f>
        <v>0</v>
      </c>
      <c r="J67" s="24">
        <f>IF(J2=0,0,(+J2*Catálogo!$H6))</f>
        <v>0</v>
      </c>
      <c r="K67" s="24">
        <f>IF(K2=0,0,(+K2*Catálogo!$H6))</f>
        <v>0</v>
      </c>
      <c r="L67" s="24">
        <f>IF(L2=0,0,(+L2*Catálogo!$H6))</f>
        <v>0</v>
      </c>
      <c r="M67" s="24">
        <f>IF(M2=0,0,(+M2*Catálogo!$H6))</f>
        <v>0</v>
      </c>
      <c r="N67" s="24">
        <f>IF(N2=0,0,(+N2*Catálogo!$H6))</f>
        <v>0</v>
      </c>
      <c r="O67" s="24">
        <f>IF(O2=0,0,(+O2*Catálogo!$H6))</f>
        <v>0</v>
      </c>
      <c r="P67" s="24">
        <f>IF(P2=0,0,(+P2*Catálogo!$H6))</f>
        <v>0</v>
      </c>
      <c r="Q67" s="24">
        <f>IF(Q2=0,0,(+Q2*Catálogo!$H6))</f>
        <v>0</v>
      </c>
      <c r="R67" s="24">
        <f>IF(R2=0,0,(+R2*Catálogo!$H6))</f>
        <v>0</v>
      </c>
      <c r="S67" s="25">
        <f>IF(S2=0,0,(+S2*Catálogo!$H25))</f>
        <v>0</v>
      </c>
      <c r="T67" s="25">
        <f>IF(T2=0,0,(+T2*Catálogo!$H25))</f>
        <v>0</v>
      </c>
      <c r="U67" s="25">
        <f>IF(U2=0,0,(+U2*Catálogo!$H25))</f>
        <v>0</v>
      </c>
      <c r="V67" s="25">
        <f>IF(V2=0,0,(+V2*Catálogo!$H25))</f>
        <v>0</v>
      </c>
      <c r="W67" s="25">
        <f>IF(W2=0,0,(+W2*Catálogo!$H25))</f>
        <v>0</v>
      </c>
      <c r="X67" s="25">
        <f>IF(X2=0,0,(+X2*Catálogo!$H25))</f>
        <v>0</v>
      </c>
      <c r="Y67" s="25">
        <f>IF(Y2=0,0,(+Y2*Catálogo!$H25))</f>
        <v>0</v>
      </c>
      <c r="Z67" s="25">
        <f>IF(Z2=0,0,(+Z2*Catálogo!$H25))</f>
        <v>0</v>
      </c>
      <c r="AA67" s="25">
        <f>IF(AA2=0,0,(+AA2*Catálogo!$H25))</f>
        <v>0</v>
      </c>
      <c r="AB67" s="25">
        <f>IF(AB2=0,0,(+AB2*Catálogo!$H25))</f>
        <v>0</v>
      </c>
      <c r="AC67" s="25">
        <f>IF(AC2=0,0,(+AC2*Catálogo!$H25))</f>
        <v>0</v>
      </c>
      <c r="AD67" s="25">
        <f>IF(AD2=0,0,(+AD2*Catálogo!$H25))</f>
        <v>0</v>
      </c>
      <c r="AE67" s="24">
        <f>IF(AE2=0,0,(+AE2*Catálogo!$H43))</f>
        <v>0</v>
      </c>
      <c r="AF67" s="24">
        <f>IF(AF2=0,0,(+AF2*Catálogo!$H43))</f>
        <v>0</v>
      </c>
      <c r="AG67" s="24">
        <f>IF(AG2=0,0,(+AG2*Catálogo!$H43))</f>
        <v>0</v>
      </c>
      <c r="AH67" s="24">
        <f>IF(AH2=0,0,(+AH2*Catálogo!$H43))</f>
        <v>0</v>
      </c>
      <c r="AI67" s="24">
        <f>IF(AI2=0,0,(+AI2*Catálogo!$H43))</f>
        <v>0</v>
      </c>
      <c r="AJ67" s="24">
        <f>IF(AJ2=0,0,(+AJ2*Catálogo!$H43))</f>
        <v>0</v>
      </c>
      <c r="AK67" s="24">
        <f>IF(AK2=0,0,(+AK2*Catálogo!$H43))</f>
        <v>0</v>
      </c>
      <c r="AL67" s="24">
        <f>IF(AL2=0,0,(+AL2*Catálogo!$H43))</f>
        <v>0</v>
      </c>
      <c r="AM67" s="24">
        <f>IF(AM2=0,0,(+AM2*Catálogo!$H43))</f>
        <v>0</v>
      </c>
      <c r="AN67" s="24">
        <f>IF(AN2=0,0,(+AN2*Catálogo!$H43))</f>
        <v>0</v>
      </c>
      <c r="AO67" s="24">
        <f>IF(AO2=0,0,(+AO2*Catálogo!$H43))</f>
        <v>0</v>
      </c>
      <c r="AP67" s="24">
        <f>IF(AP2=0,0,(+AP2*Catálogo!$H43))</f>
        <v>0</v>
      </c>
    </row>
    <row r="68" spans="1:42" hidden="1" outlineLevel="1">
      <c r="A68" s="21">
        <f t="shared" si="20"/>
        <v>0</v>
      </c>
      <c r="G68" s="24">
        <f>IF(G3=0,0,(+G3*Catálogo!$H7))</f>
        <v>0</v>
      </c>
      <c r="H68" s="24">
        <f>IF(H3=0,0,(+H3*Catálogo!$H7))</f>
        <v>0</v>
      </c>
      <c r="I68" s="24">
        <f>IF(I3=0,0,(+I3*Catálogo!$H7))</f>
        <v>0</v>
      </c>
      <c r="J68" s="24">
        <f>IF(J3=0,0,(+J3*Catálogo!$H7))</f>
        <v>0</v>
      </c>
      <c r="K68" s="24">
        <f>IF(K3=0,0,(+K3*Catálogo!$H7))</f>
        <v>0</v>
      </c>
      <c r="L68" s="24">
        <f>IF(L3=0,0,(+L3*Catálogo!$H7))</f>
        <v>0</v>
      </c>
      <c r="M68" s="24">
        <f>IF(M3=0,0,(+M3*Catálogo!$H7))</f>
        <v>0</v>
      </c>
      <c r="N68" s="24">
        <f>IF(N3=0,0,(+N3*Catálogo!$H7))</f>
        <v>0</v>
      </c>
      <c r="O68" s="24">
        <f>IF(O3=0,0,(+O3*Catálogo!$H7))</f>
        <v>0</v>
      </c>
      <c r="P68" s="24">
        <f>IF(P3=0,0,(+P3*Catálogo!$H7))</f>
        <v>0</v>
      </c>
      <c r="Q68" s="24">
        <f>IF(Q3=0,0,(+Q3*Catálogo!$H7))</f>
        <v>0</v>
      </c>
      <c r="R68" s="24">
        <f>IF(R3=0,0,(+R3*Catálogo!$H7))</f>
        <v>0</v>
      </c>
      <c r="S68" s="25">
        <f>IF(S3=0,0,(+S3*Catálogo!$H26))</f>
        <v>0</v>
      </c>
      <c r="T68" s="25">
        <f>IF(T3=0,0,(+T3*Catálogo!$H26))</f>
        <v>0</v>
      </c>
      <c r="U68" s="25">
        <f>IF(U3=0,0,(+U3*Catálogo!$H26))</f>
        <v>0</v>
      </c>
      <c r="V68" s="25">
        <f>IF(V3=0,0,(+V3*Catálogo!$H26))</f>
        <v>0</v>
      </c>
      <c r="W68" s="25">
        <f>IF(W3=0,0,(+W3*Catálogo!$H26))</f>
        <v>0</v>
      </c>
      <c r="X68" s="25">
        <f>IF(X3=0,0,(+X3*Catálogo!$H26))</f>
        <v>0</v>
      </c>
      <c r="Y68" s="25">
        <f>IF(Y3=0,0,(+Y3*Catálogo!$H26))</f>
        <v>0</v>
      </c>
      <c r="Z68" s="25">
        <f>IF(Z3=0,0,(+Z3*Catálogo!$H26))</f>
        <v>0</v>
      </c>
      <c r="AA68" s="25">
        <f>IF(AA3=0,0,(+AA3*Catálogo!$H26))</f>
        <v>0</v>
      </c>
      <c r="AB68" s="25">
        <f>IF(AB3=0,0,(+AB3*Catálogo!$H26))</f>
        <v>0</v>
      </c>
      <c r="AC68" s="25">
        <f>IF(AC3=0,0,(+AC3*Catálogo!$H26))</f>
        <v>0</v>
      </c>
      <c r="AD68" s="25">
        <f>IF(AD3=0,0,(+AD3*Catálogo!$H26))</f>
        <v>0</v>
      </c>
      <c r="AE68" s="24">
        <f>IF(AE3=0,0,(+AE3*Catálogo!$H44))</f>
        <v>0</v>
      </c>
      <c r="AF68" s="24">
        <f>IF(AF3=0,0,(+AF3*Catálogo!$H44))</f>
        <v>0</v>
      </c>
      <c r="AG68" s="24">
        <f>IF(AG3=0,0,(+AG3*Catálogo!$H44))</f>
        <v>0</v>
      </c>
      <c r="AH68" s="24">
        <f>IF(AH3=0,0,(+AH3*Catálogo!$H44))</f>
        <v>0</v>
      </c>
      <c r="AI68" s="24">
        <f>IF(AI3=0,0,(+AI3*Catálogo!$H44))</f>
        <v>0</v>
      </c>
      <c r="AJ68" s="24">
        <f>IF(AJ3=0,0,(+AJ3*Catálogo!$H44))</f>
        <v>0</v>
      </c>
      <c r="AK68" s="24">
        <f>IF(AK3=0,0,(+AK3*Catálogo!$H44))</f>
        <v>0</v>
      </c>
      <c r="AL68" s="24">
        <f>IF(AL3=0,0,(+AL3*Catálogo!$H44))</f>
        <v>0</v>
      </c>
      <c r="AM68" s="24">
        <f>IF(AM3=0,0,(+AM3*Catálogo!$H44))</f>
        <v>0</v>
      </c>
      <c r="AN68" s="24">
        <f>IF(AN3=0,0,(+AN3*Catálogo!$H44))</f>
        <v>0</v>
      </c>
      <c r="AO68" s="24">
        <f>IF(AO3=0,0,(+AO3*Catálogo!$H44))</f>
        <v>0</v>
      </c>
      <c r="AP68" s="24">
        <f>IF(AP3=0,0,(+AP3*Catálogo!$H44))</f>
        <v>0</v>
      </c>
    </row>
    <row r="69" spans="1:42" hidden="1" outlineLevel="1">
      <c r="A69" s="21">
        <f t="shared" si="20"/>
        <v>0</v>
      </c>
      <c r="G69" s="24">
        <f>IF(G4=0,0,(+G4*Catálogo!$H8))</f>
        <v>0</v>
      </c>
      <c r="H69" s="24">
        <f>IF(H4=0,0,(+H4*Catálogo!$H8))</f>
        <v>0</v>
      </c>
      <c r="I69" s="24">
        <f>IF(I4=0,0,(+I4*Catálogo!$H8))</f>
        <v>0</v>
      </c>
      <c r="J69" s="24">
        <f>IF(J4=0,0,(+J4*Catálogo!$H8))</f>
        <v>0</v>
      </c>
      <c r="K69" s="24">
        <f>IF(K4=0,0,(+K4*Catálogo!$H8))</f>
        <v>0</v>
      </c>
      <c r="L69" s="24">
        <f>IF(L4=0,0,(+L4*Catálogo!$H8))</f>
        <v>0</v>
      </c>
      <c r="M69" s="24">
        <f>IF(M4=0,0,(+M4*Catálogo!$H8))</f>
        <v>0</v>
      </c>
      <c r="N69" s="24">
        <f>IF(N4=0,0,(+N4*Catálogo!$H8))</f>
        <v>0</v>
      </c>
      <c r="O69" s="24">
        <f>IF(O4=0,0,(+O4*Catálogo!$H8))</f>
        <v>0</v>
      </c>
      <c r="P69" s="24">
        <f>IF(P4=0,0,(+P4*Catálogo!$H8))</f>
        <v>0</v>
      </c>
      <c r="Q69" s="24">
        <f>IF(Q4=0,0,(+Q4*Catálogo!$H8))</f>
        <v>0</v>
      </c>
      <c r="R69" s="24">
        <f>IF(R4=0,0,(+R4*Catálogo!$H8))</f>
        <v>0</v>
      </c>
      <c r="S69" s="25">
        <f>IF(S4=0,0,(+S4*Catálogo!$H27))</f>
        <v>0</v>
      </c>
      <c r="T69" s="25">
        <f>IF(T4=0,0,(+T4*Catálogo!$H27))</f>
        <v>0</v>
      </c>
      <c r="U69" s="25">
        <f>IF(U4=0,0,(+U4*Catálogo!$H27))</f>
        <v>0</v>
      </c>
      <c r="V69" s="25">
        <f>IF(V4=0,0,(+V4*Catálogo!$H27))</f>
        <v>0</v>
      </c>
      <c r="W69" s="25">
        <f>IF(W4=0,0,(+W4*Catálogo!$H27))</f>
        <v>0</v>
      </c>
      <c r="X69" s="25">
        <f>IF(X4=0,0,(+X4*Catálogo!$H27))</f>
        <v>0</v>
      </c>
      <c r="Y69" s="25">
        <f>IF(Y4=0,0,(+Y4*Catálogo!$H27))</f>
        <v>0</v>
      </c>
      <c r="Z69" s="25">
        <f>IF(Z4=0,0,(+Z4*Catálogo!$H27))</f>
        <v>0</v>
      </c>
      <c r="AA69" s="25">
        <f>IF(AA4=0,0,(+AA4*Catálogo!$H27))</f>
        <v>0</v>
      </c>
      <c r="AB69" s="25">
        <f>IF(AB4=0,0,(+AB4*Catálogo!$H27))</f>
        <v>0</v>
      </c>
      <c r="AC69" s="25">
        <f>IF(AC4=0,0,(+AC4*Catálogo!$H27))</f>
        <v>0</v>
      </c>
      <c r="AD69" s="25">
        <f>IF(AD4=0,0,(+AD4*Catálogo!$H27))</f>
        <v>0</v>
      </c>
      <c r="AE69" s="24">
        <f>IF(AE4=0,0,(+AE4*Catálogo!$H45))</f>
        <v>0</v>
      </c>
      <c r="AF69" s="24">
        <f>IF(AF4=0,0,(+AF4*Catálogo!$H45))</f>
        <v>0</v>
      </c>
      <c r="AG69" s="24">
        <f>IF(AG4=0,0,(+AG4*Catálogo!$H45))</f>
        <v>0</v>
      </c>
      <c r="AH69" s="24">
        <f>IF(AH4=0,0,(+AH4*Catálogo!$H45))</f>
        <v>0</v>
      </c>
      <c r="AI69" s="24">
        <f>IF(AI4=0,0,(+AI4*Catálogo!$H45))</f>
        <v>0</v>
      </c>
      <c r="AJ69" s="24">
        <f>IF(AJ4=0,0,(+AJ4*Catálogo!$H45))</f>
        <v>0</v>
      </c>
      <c r="AK69" s="24">
        <f>IF(AK4=0,0,(+AK4*Catálogo!$H45))</f>
        <v>0</v>
      </c>
      <c r="AL69" s="24">
        <f>IF(AL4=0,0,(+AL4*Catálogo!$H45))</f>
        <v>0</v>
      </c>
      <c r="AM69" s="24">
        <f>IF(AM4=0,0,(+AM4*Catálogo!$H45))</f>
        <v>0</v>
      </c>
      <c r="AN69" s="24">
        <f>IF(AN4=0,0,(+AN4*Catálogo!$H45))</f>
        <v>0</v>
      </c>
      <c r="AO69" s="24">
        <f>IF(AO4=0,0,(+AO4*Catálogo!$H45))</f>
        <v>0</v>
      </c>
      <c r="AP69" s="24">
        <f>IF(AP4=0,0,(+AP4*Catálogo!$H45))</f>
        <v>0</v>
      </c>
    </row>
    <row r="70" spans="1:42" hidden="1" outlineLevel="1">
      <c r="A70" s="21">
        <f t="shared" si="20"/>
        <v>0</v>
      </c>
      <c r="G70" s="24">
        <f>IF(G5=0,0,(+G5*Catálogo!$H9))</f>
        <v>0</v>
      </c>
      <c r="H70" s="24">
        <f>IF(H5=0,0,(+H5*Catálogo!$H9))</f>
        <v>0</v>
      </c>
      <c r="I70" s="24">
        <f>IF(I5=0,0,(+I5*Catálogo!$H9))</f>
        <v>0</v>
      </c>
      <c r="J70" s="24">
        <f>IF(J5=0,0,(+J5*Catálogo!$H9))</f>
        <v>0</v>
      </c>
      <c r="K70" s="24">
        <f>IF(K5=0,0,(+K5*Catálogo!$H9))</f>
        <v>0</v>
      </c>
      <c r="L70" s="24">
        <f>IF(L5=0,0,(+L5*Catálogo!$H9))</f>
        <v>0</v>
      </c>
      <c r="M70" s="24">
        <f>IF(M5=0,0,(+M5*Catálogo!$H9))</f>
        <v>0</v>
      </c>
      <c r="N70" s="24">
        <f>IF(N5=0,0,(+N5*Catálogo!$H9))</f>
        <v>0</v>
      </c>
      <c r="O70" s="24">
        <f>IF(O5=0,0,(+O5*Catálogo!$H9))</f>
        <v>0</v>
      </c>
      <c r="P70" s="24">
        <f>IF(P5=0,0,(+P5*Catálogo!$H9))</f>
        <v>0</v>
      </c>
      <c r="Q70" s="24">
        <f>IF(Q5=0,0,(+Q5*Catálogo!$H9))</f>
        <v>0</v>
      </c>
      <c r="R70" s="24">
        <f>IF(R5=0,0,(+R5*Catálogo!$H9))</f>
        <v>0</v>
      </c>
      <c r="S70" s="25">
        <f>IF(S5=0,0,(+S5*Catálogo!$H28))</f>
        <v>0</v>
      </c>
      <c r="T70" s="25">
        <f>IF(T5=0,0,(+T5*Catálogo!$H28))</f>
        <v>0</v>
      </c>
      <c r="U70" s="25">
        <f>IF(U5=0,0,(+U5*Catálogo!$H28))</f>
        <v>0</v>
      </c>
      <c r="V70" s="25">
        <f>IF(V5=0,0,(+V5*Catálogo!$H28))</f>
        <v>0</v>
      </c>
      <c r="W70" s="25">
        <f>IF(W5=0,0,(+W5*Catálogo!$H28))</f>
        <v>0</v>
      </c>
      <c r="X70" s="25">
        <f>IF(X5=0,0,(+X5*Catálogo!$H28))</f>
        <v>0</v>
      </c>
      <c r="Y70" s="25">
        <f>IF(Y5=0,0,(+Y5*Catálogo!$H28))</f>
        <v>0</v>
      </c>
      <c r="Z70" s="25">
        <f>IF(Z5=0,0,(+Z5*Catálogo!$H28))</f>
        <v>0</v>
      </c>
      <c r="AA70" s="25">
        <f>IF(AA5=0,0,(+AA5*Catálogo!$H28))</f>
        <v>0</v>
      </c>
      <c r="AB70" s="25">
        <f>IF(AB5=0,0,(+AB5*Catálogo!$H28))</f>
        <v>0</v>
      </c>
      <c r="AC70" s="25">
        <f>IF(AC5=0,0,(+AC5*Catálogo!$H28))</f>
        <v>0</v>
      </c>
      <c r="AD70" s="25">
        <f>IF(AD5=0,0,(+AD5*Catálogo!$H28))</f>
        <v>0</v>
      </c>
      <c r="AE70" s="24">
        <f>IF(AE5=0,0,(+AE5*Catálogo!$H46))</f>
        <v>0</v>
      </c>
      <c r="AF70" s="24">
        <f>IF(AF5=0,0,(+AF5*Catálogo!$H46))</f>
        <v>0</v>
      </c>
      <c r="AG70" s="24">
        <f>IF(AG5=0,0,(+AG5*Catálogo!$H46))</f>
        <v>0</v>
      </c>
      <c r="AH70" s="24">
        <f>IF(AH5=0,0,(+AH5*Catálogo!$H46))</f>
        <v>0</v>
      </c>
      <c r="AI70" s="24">
        <f>IF(AI5=0,0,(+AI5*Catálogo!$H46))</f>
        <v>0</v>
      </c>
      <c r="AJ70" s="24">
        <f>IF(AJ5=0,0,(+AJ5*Catálogo!$H46))</f>
        <v>0</v>
      </c>
      <c r="AK70" s="24">
        <f>IF(AK5=0,0,(+AK5*Catálogo!$H46))</f>
        <v>0</v>
      </c>
      <c r="AL70" s="24">
        <f>IF(AL5=0,0,(+AL5*Catálogo!$H46))</f>
        <v>0</v>
      </c>
      <c r="AM70" s="24">
        <f>IF(AM5=0,0,(+AM5*Catálogo!$H46))</f>
        <v>0</v>
      </c>
      <c r="AN70" s="24">
        <f>IF(AN5=0,0,(+AN5*Catálogo!$H46))</f>
        <v>0</v>
      </c>
      <c r="AO70" s="24">
        <f>IF(AO5=0,0,(+AO5*Catálogo!$H46))</f>
        <v>0</v>
      </c>
      <c r="AP70" s="24">
        <f>IF(AP5=0,0,(+AP5*Catálogo!$H46))</f>
        <v>0</v>
      </c>
    </row>
    <row r="71" spans="1:42" hidden="1" outlineLevel="1">
      <c r="A71" s="21">
        <f t="shared" si="20"/>
        <v>0</v>
      </c>
      <c r="G71" s="24">
        <f>IF(G6=0,0,(+G6*Catálogo!$H10))</f>
        <v>0</v>
      </c>
      <c r="H71" s="24">
        <f>IF(H6=0,0,(+H6*Catálogo!$H10))</f>
        <v>0</v>
      </c>
      <c r="I71" s="24">
        <f>IF(I6=0,0,(+I6*Catálogo!$H10))</f>
        <v>0</v>
      </c>
      <c r="J71" s="24">
        <f>IF(J6=0,0,(+J6*Catálogo!$H10))</f>
        <v>0</v>
      </c>
      <c r="K71" s="24">
        <f>IF(K6=0,0,(+K6*Catálogo!$H10))</f>
        <v>0</v>
      </c>
      <c r="L71" s="24">
        <f>IF(L6=0,0,(+L6*Catálogo!$H10))</f>
        <v>0</v>
      </c>
      <c r="M71" s="24">
        <f>IF(M6=0,0,(+M6*Catálogo!$H10))</f>
        <v>0</v>
      </c>
      <c r="N71" s="24">
        <f>IF(N6=0,0,(+N6*Catálogo!$H10))</f>
        <v>0</v>
      </c>
      <c r="O71" s="24">
        <f>IF(O6=0,0,(+O6*Catálogo!$H10))</f>
        <v>0</v>
      </c>
      <c r="P71" s="24">
        <f>IF(P6=0,0,(+P6*Catálogo!$H10))</f>
        <v>0</v>
      </c>
      <c r="Q71" s="24">
        <f>IF(Q6=0,0,(+Q6*Catálogo!$H10))</f>
        <v>0</v>
      </c>
      <c r="R71" s="24">
        <f>IF(R6=0,0,(+R6*Catálogo!$H10))</f>
        <v>0</v>
      </c>
      <c r="S71" s="25">
        <f>IF(S6=0,0,(+S6*Catálogo!$H29))</f>
        <v>0</v>
      </c>
      <c r="T71" s="25">
        <f>IF(T6=0,0,(+T6*Catálogo!$H29))</f>
        <v>0</v>
      </c>
      <c r="U71" s="25">
        <f>IF(U6=0,0,(+U6*Catálogo!$H29))</f>
        <v>0</v>
      </c>
      <c r="V71" s="25">
        <f>IF(V6=0,0,(+V6*Catálogo!$H29))</f>
        <v>0</v>
      </c>
      <c r="W71" s="25">
        <f>IF(W6=0,0,(+W6*Catálogo!$H29))</f>
        <v>0</v>
      </c>
      <c r="X71" s="25">
        <f>IF(X6=0,0,(+X6*Catálogo!$H29))</f>
        <v>0</v>
      </c>
      <c r="Y71" s="25">
        <f>IF(Y6=0,0,(+Y6*Catálogo!$H29))</f>
        <v>0</v>
      </c>
      <c r="Z71" s="25">
        <f>IF(Z6=0,0,(+Z6*Catálogo!$H29))</f>
        <v>0</v>
      </c>
      <c r="AA71" s="25">
        <f>IF(AA6=0,0,(+AA6*Catálogo!$H29))</f>
        <v>0</v>
      </c>
      <c r="AB71" s="25">
        <f>IF(AB6=0,0,(+AB6*Catálogo!$H29))</f>
        <v>0</v>
      </c>
      <c r="AC71" s="25">
        <f>IF(AC6=0,0,(+AC6*Catálogo!$H29))</f>
        <v>0</v>
      </c>
      <c r="AD71" s="25">
        <f>IF(AD6=0,0,(+AD6*Catálogo!$H29))</f>
        <v>0</v>
      </c>
      <c r="AE71" s="24">
        <f>IF(AE6=0,0,(+AE6*Catálogo!$H47))</f>
        <v>0</v>
      </c>
      <c r="AF71" s="24">
        <f>IF(AF6=0,0,(+AF6*Catálogo!$H47))</f>
        <v>0</v>
      </c>
      <c r="AG71" s="24">
        <f>IF(AG6=0,0,(+AG6*Catálogo!$H47))</f>
        <v>0</v>
      </c>
      <c r="AH71" s="24">
        <f>IF(AH6=0,0,(+AH6*Catálogo!$H47))</f>
        <v>0</v>
      </c>
      <c r="AI71" s="24">
        <f>IF(AI6=0,0,(+AI6*Catálogo!$H47))</f>
        <v>0</v>
      </c>
      <c r="AJ71" s="24">
        <f>IF(AJ6=0,0,(+AJ6*Catálogo!$H47))</f>
        <v>0</v>
      </c>
      <c r="AK71" s="24">
        <f>IF(AK6=0,0,(+AK6*Catálogo!$H47))</f>
        <v>0</v>
      </c>
      <c r="AL71" s="24">
        <f>IF(AL6=0,0,(+AL6*Catálogo!$H47))</f>
        <v>0</v>
      </c>
      <c r="AM71" s="24">
        <f>IF(AM6=0,0,(+AM6*Catálogo!$H47))</f>
        <v>0</v>
      </c>
      <c r="AN71" s="24">
        <f>IF(AN6=0,0,(+AN6*Catálogo!$H47))</f>
        <v>0</v>
      </c>
      <c r="AO71" s="24">
        <f>IF(AO6=0,0,(+AO6*Catálogo!$H47))</f>
        <v>0</v>
      </c>
      <c r="AP71" s="24">
        <f>IF(AP6=0,0,(+AP6*Catálogo!$H47))</f>
        <v>0</v>
      </c>
    </row>
    <row r="72" spans="1:42" hidden="1" outlineLevel="1">
      <c r="A72" s="21">
        <f t="shared" si="20"/>
        <v>0</v>
      </c>
      <c r="G72" s="24">
        <f>IF(G7=0,0,(+G7*Catálogo!$H11))</f>
        <v>0</v>
      </c>
      <c r="H72" s="24">
        <f>IF(H7=0,0,(+H7*Catálogo!$H11))</f>
        <v>0</v>
      </c>
      <c r="I72" s="24">
        <f>IF(I7=0,0,(+I7*Catálogo!$H11))</f>
        <v>0</v>
      </c>
      <c r="J72" s="24">
        <f>IF(J7=0,0,(+J7*Catálogo!$H11))</f>
        <v>0</v>
      </c>
      <c r="K72" s="24">
        <f>IF(K7=0,0,(+K7*Catálogo!$H11))</f>
        <v>0</v>
      </c>
      <c r="L72" s="24">
        <f>IF(L7=0,0,(+L7*Catálogo!$H11))</f>
        <v>0</v>
      </c>
      <c r="M72" s="24">
        <f>IF(M7=0,0,(+M7*Catálogo!$H11))</f>
        <v>0</v>
      </c>
      <c r="N72" s="24">
        <f>IF(N7=0,0,(+N7*Catálogo!$H11))</f>
        <v>0</v>
      </c>
      <c r="O72" s="24">
        <f>IF(O7=0,0,(+O7*Catálogo!$H11))</f>
        <v>0</v>
      </c>
      <c r="P72" s="24">
        <f>IF(P7=0,0,(+P7*Catálogo!$H11))</f>
        <v>0</v>
      </c>
      <c r="Q72" s="24">
        <f>IF(Q7=0,0,(+Q7*Catálogo!$H11))</f>
        <v>0</v>
      </c>
      <c r="R72" s="24">
        <f>IF(R7=0,0,(+R7*Catálogo!$H11))</f>
        <v>0</v>
      </c>
      <c r="S72" s="25">
        <f>IF(S7=0,0,(+S7*Catálogo!$H30))</f>
        <v>0</v>
      </c>
      <c r="T72" s="25">
        <f>IF(T7=0,0,(+T7*Catálogo!$H30))</f>
        <v>0</v>
      </c>
      <c r="U72" s="25">
        <f>IF(U7=0,0,(+U7*Catálogo!$H30))</f>
        <v>0</v>
      </c>
      <c r="V72" s="25">
        <f>IF(V7=0,0,(+V7*Catálogo!$H30))</f>
        <v>0</v>
      </c>
      <c r="W72" s="25">
        <f>IF(W7=0,0,(+W7*Catálogo!$H30))</f>
        <v>0</v>
      </c>
      <c r="X72" s="25">
        <f>IF(X7=0,0,(+X7*Catálogo!$H30))</f>
        <v>0</v>
      </c>
      <c r="Y72" s="25">
        <f>IF(Y7=0,0,(+Y7*Catálogo!$H30))</f>
        <v>0</v>
      </c>
      <c r="Z72" s="25">
        <f>IF(Z7=0,0,(+Z7*Catálogo!$H30))</f>
        <v>0</v>
      </c>
      <c r="AA72" s="25">
        <f>IF(AA7=0,0,(+AA7*Catálogo!$H30))</f>
        <v>0</v>
      </c>
      <c r="AB72" s="25">
        <f>IF(AB7=0,0,(+AB7*Catálogo!$H30))</f>
        <v>0</v>
      </c>
      <c r="AC72" s="25">
        <f>IF(AC7=0,0,(+AC7*Catálogo!$H30))</f>
        <v>0</v>
      </c>
      <c r="AD72" s="25">
        <f>IF(AD7=0,0,(+AD7*Catálogo!$H30))</f>
        <v>0</v>
      </c>
      <c r="AE72" s="24">
        <f>IF(AE7=0,0,(+AE7*Catálogo!$H48))</f>
        <v>0</v>
      </c>
      <c r="AF72" s="24">
        <f>IF(AF7=0,0,(+AF7*Catálogo!$H48))</f>
        <v>0</v>
      </c>
      <c r="AG72" s="24">
        <f>IF(AG7=0,0,(+AG7*Catálogo!$H48))</f>
        <v>0</v>
      </c>
      <c r="AH72" s="24">
        <f>IF(AH7=0,0,(+AH7*Catálogo!$H48))</f>
        <v>0</v>
      </c>
      <c r="AI72" s="24">
        <f>IF(AI7=0,0,(+AI7*Catálogo!$H48))</f>
        <v>0</v>
      </c>
      <c r="AJ72" s="24">
        <f>IF(AJ7=0,0,(+AJ7*Catálogo!$H48))</f>
        <v>0</v>
      </c>
      <c r="AK72" s="24">
        <f>IF(AK7=0,0,(+AK7*Catálogo!$H48))</f>
        <v>0</v>
      </c>
      <c r="AL72" s="24">
        <f>IF(AL7=0,0,(+AL7*Catálogo!$H48))</f>
        <v>0</v>
      </c>
      <c r="AM72" s="24">
        <f>IF(AM7=0,0,(+AM7*Catálogo!$H48))</f>
        <v>0</v>
      </c>
      <c r="AN72" s="24">
        <f>IF(AN7=0,0,(+AN7*Catálogo!$H48))</f>
        <v>0</v>
      </c>
      <c r="AO72" s="24">
        <f>IF(AO7=0,0,(+AO7*Catálogo!$H48))</f>
        <v>0</v>
      </c>
      <c r="AP72" s="24">
        <f>IF(AP7=0,0,(+AP7*Catálogo!$H48))</f>
        <v>0</v>
      </c>
    </row>
    <row r="73" spans="1:42" hidden="1" outlineLevel="1">
      <c r="A73" s="21">
        <f t="shared" si="20"/>
        <v>0</v>
      </c>
      <c r="G73" s="24">
        <f>IF(G8=0,0,(+G8*Catálogo!$H12))</f>
        <v>0</v>
      </c>
      <c r="H73" s="24">
        <f>IF(H8=0,0,(+H8*Catálogo!$H12))</f>
        <v>0</v>
      </c>
      <c r="I73" s="24">
        <f>IF(I8=0,0,(+I8*Catálogo!$H12))</f>
        <v>0</v>
      </c>
      <c r="J73" s="24">
        <f>IF(J8=0,0,(+J8*Catálogo!$H12))</f>
        <v>0</v>
      </c>
      <c r="K73" s="24">
        <f>IF(K8=0,0,(+K8*Catálogo!$H12))</f>
        <v>0</v>
      </c>
      <c r="L73" s="24">
        <f>IF(L8=0,0,(+L8*Catálogo!$H12))</f>
        <v>0</v>
      </c>
      <c r="M73" s="24">
        <f>IF(M8=0,0,(+M8*Catálogo!$H12))</f>
        <v>0</v>
      </c>
      <c r="N73" s="24">
        <f>IF(N8=0,0,(+N8*Catálogo!$H12))</f>
        <v>0</v>
      </c>
      <c r="O73" s="24">
        <f>IF(O8=0,0,(+O8*Catálogo!$H12))</f>
        <v>0</v>
      </c>
      <c r="P73" s="24">
        <f>IF(P8=0,0,(+P8*Catálogo!$H12))</f>
        <v>0</v>
      </c>
      <c r="Q73" s="24">
        <f>IF(Q8=0,0,(+Q8*Catálogo!$H12))</f>
        <v>0</v>
      </c>
      <c r="R73" s="24">
        <f>IF(R8=0,0,(+R8*Catálogo!$H12))</f>
        <v>0</v>
      </c>
      <c r="S73" s="25">
        <f>IF(S8=0,0,(+S8*Catálogo!$H31))</f>
        <v>0</v>
      </c>
      <c r="T73" s="25">
        <f>IF(T8=0,0,(+T8*Catálogo!$H31))</f>
        <v>0</v>
      </c>
      <c r="U73" s="25">
        <f>IF(U8=0,0,(+U8*Catálogo!$H31))</f>
        <v>0</v>
      </c>
      <c r="V73" s="25">
        <f>IF(V8=0,0,(+V8*Catálogo!$H31))</f>
        <v>0</v>
      </c>
      <c r="W73" s="25">
        <f>IF(W8=0,0,(+W8*Catálogo!$H31))</f>
        <v>0</v>
      </c>
      <c r="X73" s="25">
        <f>IF(X8=0,0,(+X8*Catálogo!$H31))</f>
        <v>0</v>
      </c>
      <c r="Y73" s="25">
        <f>IF(Y8=0,0,(+Y8*Catálogo!$H31))</f>
        <v>0</v>
      </c>
      <c r="Z73" s="25">
        <f>IF(Z8=0,0,(+Z8*Catálogo!$H31))</f>
        <v>0</v>
      </c>
      <c r="AA73" s="25">
        <f>IF(AA8=0,0,(+AA8*Catálogo!$H31))</f>
        <v>0</v>
      </c>
      <c r="AB73" s="25">
        <f>IF(AB8=0,0,(+AB8*Catálogo!$H31))</f>
        <v>0</v>
      </c>
      <c r="AC73" s="25">
        <f>IF(AC8=0,0,(+AC8*Catálogo!$H31))</f>
        <v>0</v>
      </c>
      <c r="AD73" s="25">
        <f>IF(AD8=0,0,(+AD8*Catálogo!$H31))</f>
        <v>0</v>
      </c>
      <c r="AE73" s="24">
        <f>IF(AE8=0,0,(+AE8*Catálogo!$H49))</f>
        <v>0</v>
      </c>
      <c r="AF73" s="24">
        <f>IF(AF8=0,0,(+AF8*Catálogo!$H49))</f>
        <v>0</v>
      </c>
      <c r="AG73" s="24">
        <f>IF(AG8=0,0,(+AG8*Catálogo!$H49))</f>
        <v>0</v>
      </c>
      <c r="AH73" s="24">
        <f>IF(AH8=0,0,(+AH8*Catálogo!$H49))</f>
        <v>0</v>
      </c>
      <c r="AI73" s="24">
        <f>IF(AI8=0,0,(+AI8*Catálogo!$H49))</f>
        <v>0</v>
      </c>
      <c r="AJ73" s="24">
        <f>IF(AJ8=0,0,(+AJ8*Catálogo!$H49))</f>
        <v>0</v>
      </c>
      <c r="AK73" s="24">
        <f>IF(AK8=0,0,(+AK8*Catálogo!$H49))</f>
        <v>0</v>
      </c>
      <c r="AL73" s="24">
        <f>IF(AL8=0,0,(+AL8*Catálogo!$H49))</f>
        <v>0</v>
      </c>
      <c r="AM73" s="24">
        <f>IF(AM8=0,0,(+AM8*Catálogo!$H49))</f>
        <v>0</v>
      </c>
      <c r="AN73" s="24">
        <f>IF(AN8=0,0,(+AN8*Catálogo!$H49))</f>
        <v>0</v>
      </c>
      <c r="AO73" s="24">
        <f>IF(AO8=0,0,(+AO8*Catálogo!$H49))</f>
        <v>0</v>
      </c>
      <c r="AP73" s="24">
        <f>IF(AP8=0,0,(+AP8*Catálogo!$H49))</f>
        <v>0</v>
      </c>
    </row>
    <row r="74" spans="1:42" hidden="1" outlineLevel="1">
      <c r="A74" s="21">
        <f t="shared" si="20"/>
        <v>0</v>
      </c>
      <c r="G74" s="24">
        <f>IF(G9=0,0,(+G9*Catálogo!$H13))</f>
        <v>0</v>
      </c>
      <c r="H74" s="24">
        <f>IF(H9=0,0,(+H9*Catálogo!$H13))</f>
        <v>0</v>
      </c>
      <c r="I74" s="24">
        <f>IF(I9=0,0,(+I9*Catálogo!$H13))</f>
        <v>0</v>
      </c>
      <c r="J74" s="24">
        <f>IF(J9=0,0,(+J9*Catálogo!$H13))</f>
        <v>0</v>
      </c>
      <c r="K74" s="24">
        <f>IF(K9=0,0,(+K9*Catálogo!$H13))</f>
        <v>0</v>
      </c>
      <c r="L74" s="24">
        <f>IF(L9=0,0,(+L9*Catálogo!$H13))</f>
        <v>0</v>
      </c>
      <c r="M74" s="24">
        <f>IF(M9=0,0,(+M9*Catálogo!$H13))</f>
        <v>0</v>
      </c>
      <c r="N74" s="24">
        <f>IF(N9=0,0,(+N9*Catálogo!$H13))</f>
        <v>0</v>
      </c>
      <c r="O74" s="24">
        <f>IF(O9=0,0,(+O9*Catálogo!$H13))</f>
        <v>0</v>
      </c>
      <c r="P74" s="24">
        <f>IF(P9=0,0,(+P9*Catálogo!$H13))</f>
        <v>0</v>
      </c>
      <c r="Q74" s="24">
        <f>IF(Q9=0,0,(+Q9*Catálogo!$H13))</f>
        <v>0</v>
      </c>
      <c r="R74" s="24">
        <f>IF(R9=0,0,(+R9*Catálogo!$H13))</f>
        <v>0</v>
      </c>
      <c r="S74" s="25">
        <f>IF(S9=0,0,(+S9*Catálogo!$H32))</f>
        <v>0</v>
      </c>
      <c r="T74" s="25">
        <f>IF(T9=0,0,(+T9*Catálogo!$H32))</f>
        <v>0</v>
      </c>
      <c r="U74" s="25">
        <f>IF(U9=0,0,(+U9*Catálogo!$H32))</f>
        <v>0</v>
      </c>
      <c r="V74" s="25">
        <f>IF(V9=0,0,(+V9*Catálogo!$H32))</f>
        <v>0</v>
      </c>
      <c r="W74" s="25">
        <f>IF(W9=0,0,(+W9*Catálogo!$H32))</f>
        <v>0</v>
      </c>
      <c r="X74" s="25">
        <f>IF(X9=0,0,(+X9*Catálogo!$H32))</f>
        <v>0</v>
      </c>
      <c r="Y74" s="25">
        <f>IF(Y9=0,0,(+Y9*Catálogo!$H32))</f>
        <v>0</v>
      </c>
      <c r="Z74" s="25">
        <f>IF(Z9=0,0,(+Z9*Catálogo!$H32))</f>
        <v>0</v>
      </c>
      <c r="AA74" s="25">
        <f>IF(AA9=0,0,(+AA9*Catálogo!$H32))</f>
        <v>0</v>
      </c>
      <c r="AB74" s="25">
        <f>IF(AB9=0,0,(+AB9*Catálogo!$H32))</f>
        <v>0</v>
      </c>
      <c r="AC74" s="25">
        <f>IF(AC9=0,0,(+AC9*Catálogo!$H32))</f>
        <v>0</v>
      </c>
      <c r="AD74" s="25">
        <f>IF(AD9=0,0,(+AD9*Catálogo!$H32))</f>
        <v>0</v>
      </c>
      <c r="AE74" s="24">
        <f>IF(AE9=0,0,(+AE9*Catálogo!$H50))</f>
        <v>0</v>
      </c>
      <c r="AF74" s="24">
        <f>IF(AF9=0,0,(+AF9*Catálogo!$H50))</f>
        <v>0</v>
      </c>
      <c r="AG74" s="24">
        <f>IF(AG9=0,0,(+AG9*Catálogo!$H50))</f>
        <v>0</v>
      </c>
      <c r="AH74" s="24">
        <f>IF(AH9=0,0,(+AH9*Catálogo!$H50))</f>
        <v>0</v>
      </c>
      <c r="AI74" s="24">
        <f>IF(AI9=0,0,(+AI9*Catálogo!$H50))</f>
        <v>0</v>
      </c>
      <c r="AJ74" s="24">
        <f>IF(AJ9=0,0,(+AJ9*Catálogo!$H50))</f>
        <v>0</v>
      </c>
      <c r="AK74" s="24">
        <f>IF(AK9=0,0,(+AK9*Catálogo!$H50))</f>
        <v>0</v>
      </c>
      <c r="AL74" s="24">
        <f>IF(AL9=0,0,(+AL9*Catálogo!$H50))</f>
        <v>0</v>
      </c>
      <c r="AM74" s="24">
        <f>IF(AM9=0,0,(+AM9*Catálogo!$H50))</f>
        <v>0</v>
      </c>
      <c r="AN74" s="24">
        <f>IF(AN9=0,0,(+AN9*Catálogo!$H50))</f>
        <v>0</v>
      </c>
      <c r="AO74" s="24">
        <f>IF(AO9=0,0,(+AO9*Catálogo!$H50))</f>
        <v>0</v>
      </c>
      <c r="AP74" s="24">
        <f>IF(AP9=0,0,(+AP9*Catálogo!$H50))</f>
        <v>0</v>
      </c>
    </row>
    <row r="75" spans="1:42" hidden="1" outlineLevel="1">
      <c r="A75" s="21">
        <f t="shared" si="20"/>
        <v>0</v>
      </c>
      <c r="G75" s="24">
        <f>IF(G10=0,0,(+G10*Catálogo!$H14))</f>
        <v>0</v>
      </c>
      <c r="H75" s="24">
        <f>IF(H10=0,0,(+H10*Catálogo!$H14))</f>
        <v>0</v>
      </c>
      <c r="I75" s="24">
        <f>IF(I10=0,0,(+I10*Catálogo!$H14))</f>
        <v>0</v>
      </c>
      <c r="J75" s="24">
        <f>IF(J10=0,0,(+J10*Catálogo!$H14))</f>
        <v>0</v>
      </c>
      <c r="K75" s="24">
        <f>IF(K10=0,0,(+K10*Catálogo!$H14))</f>
        <v>0</v>
      </c>
      <c r="L75" s="24">
        <f>IF(L10=0,0,(+L10*Catálogo!$H14))</f>
        <v>0</v>
      </c>
      <c r="M75" s="24">
        <f>IF(M10=0,0,(+M10*Catálogo!$H14))</f>
        <v>0</v>
      </c>
      <c r="N75" s="24">
        <f>IF(N10=0,0,(+N10*Catálogo!$H14))</f>
        <v>0</v>
      </c>
      <c r="O75" s="24">
        <f>IF(O10=0,0,(+O10*Catálogo!$H14))</f>
        <v>0</v>
      </c>
      <c r="P75" s="24">
        <f>IF(P10=0,0,(+P10*Catálogo!$H14))</f>
        <v>0</v>
      </c>
      <c r="Q75" s="24">
        <f>IF(Q10=0,0,(+Q10*Catálogo!$H14))</f>
        <v>0</v>
      </c>
      <c r="R75" s="24">
        <f>IF(R10=0,0,(+R10*Catálogo!$H14))</f>
        <v>0</v>
      </c>
      <c r="S75" s="25">
        <f>IF(S10=0,0,(+S10*Catálogo!$H33))</f>
        <v>0</v>
      </c>
      <c r="T75" s="25">
        <f>IF(T10=0,0,(+T10*Catálogo!$H33))</f>
        <v>0</v>
      </c>
      <c r="U75" s="25">
        <f>IF(U10=0,0,(+U10*Catálogo!$H33))</f>
        <v>0</v>
      </c>
      <c r="V75" s="25">
        <f>IF(V10=0,0,(+V10*Catálogo!$H33))</f>
        <v>0</v>
      </c>
      <c r="W75" s="25">
        <f>IF(W10=0,0,(+W10*Catálogo!$H33))</f>
        <v>0</v>
      </c>
      <c r="X75" s="25">
        <f>IF(X10=0,0,(+X10*Catálogo!$H33))</f>
        <v>0</v>
      </c>
      <c r="Y75" s="25">
        <f>IF(Y10=0,0,(+Y10*Catálogo!$H33))</f>
        <v>0</v>
      </c>
      <c r="Z75" s="25">
        <f>IF(Z10=0,0,(+Z10*Catálogo!$H33))</f>
        <v>0</v>
      </c>
      <c r="AA75" s="25">
        <f>IF(AA10=0,0,(+AA10*Catálogo!$H33))</f>
        <v>0</v>
      </c>
      <c r="AB75" s="25">
        <f>IF(AB10=0,0,(+AB10*Catálogo!$H33))</f>
        <v>0</v>
      </c>
      <c r="AC75" s="25">
        <f>IF(AC10=0,0,(+AC10*Catálogo!$H33))</f>
        <v>0</v>
      </c>
      <c r="AD75" s="25">
        <f>IF(AD10=0,0,(+AD10*Catálogo!$H33))</f>
        <v>0</v>
      </c>
      <c r="AE75" s="24">
        <f>IF(AE10=0,0,(+AE10*Catálogo!$H51))</f>
        <v>0</v>
      </c>
      <c r="AF75" s="24">
        <f>IF(AF10=0,0,(+AF10*Catálogo!$H51))</f>
        <v>0</v>
      </c>
      <c r="AG75" s="24">
        <f>IF(AG10=0,0,(+AG10*Catálogo!$H51))</f>
        <v>0</v>
      </c>
      <c r="AH75" s="24">
        <f>IF(AH10=0,0,(+AH10*Catálogo!$H51))</f>
        <v>0</v>
      </c>
      <c r="AI75" s="24">
        <f>IF(AI10=0,0,(+AI10*Catálogo!$H51))</f>
        <v>0</v>
      </c>
      <c r="AJ75" s="24">
        <f>IF(AJ10=0,0,(+AJ10*Catálogo!$H51))</f>
        <v>0</v>
      </c>
      <c r="AK75" s="24">
        <f>IF(AK10=0,0,(+AK10*Catálogo!$H51))</f>
        <v>0</v>
      </c>
      <c r="AL75" s="24">
        <f>IF(AL10=0,0,(+AL10*Catálogo!$H51))</f>
        <v>0</v>
      </c>
      <c r="AM75" s="24">
        <f>IF(AM10=0,0,(+AM10*Catálogo!$H51))</f>
        <v>0</v>
      </c>
      <c r="AN75" s="24">
        <f>IF(AN10=0,0,(+AN10*Catálogo!$H51))</f>
        <v>0</v>
      </c>
      <c r="AO75" s="24">
        <f>IF(AO10=0,0,(+AO10*Catálogo!$H51))</f>
        <v>0</v>
      </c>
      <c r="AP75" s="24">
        <f>IF(AP10=0,0,(+AP10*Catálogo!$H51))</f>
        <v>0</v>
      </c>
    </row>
    <row r="76" spans="1:42" ht="15.75" hidden="1" customHeight="1" outlineLevel="1">
      <c r="A76" s="21">
        <f t="shared" si="20"/>
        <v>0</v>
      </c>
      <c r="G76" s="24">
        <f>IF(G11=0,0,(+G11*Catálogo!$H15))</f>
        <v>0</v>
      </c>
      <c r="H76" s="24">
        <f>IF(H11=0,0,(+H11*Catálogo!$H15))</f>
        <v>0</v>
      </c>
      <c r="I76" s="24">
        <f>IF(I11=0,0,(+I11*Catálogo!$H15))</f>
        <v>0</v>
      </c>
      <c r="J76" s="24">
        <f>IF(J11=0,0,(+J11*Catálogo!$H15))</f>
        <v>0</v>
      </c>
      <c r="K76" s="24">
        <f>IF(K11=0,0,(+K11*Catálogo!$H15))</f>
        <v>0</v>
      </c>
      <c r="L76" s="24">
        <f>IF(L11=0,0,(+L11*Catálogo!$H15))</f>
        <v>0</v>
      </c>
      <c r="M76" s="24">
        <f>IF(M11=0,0,(+M11*Catálogo!$H15))</f>
        <v>0</v>
      </c>
      <c r="N76" s="24">
        <f>IF(N11=0,0,(+N11*Catálogo!$H15))</f>
        <v>0</v>
      </c>
      <c r="O76" s="24">
        <f>IF(O11=0,0,(+O11*Catálogo!$H15))</f>
        <v>0</v>
      </c>
      <c r="P76" s="24">
        <f>IF(P11=0,0,(+P11*Catálogo!$H15))</f>
        <v>0</v>
      </c>
      <c r="Q76" s="24">
        <f>IF(Q11=0,0,(+Q11*Catálogo!$H15))</f>
        <v>0</v>
      </c>
      <c r="R76" s="24">
        <f>IF(R11=0,0,(+R11*Catálogo!$H15))</f>
        <v>0</v>
      </c>
      <c r="S76" s="25">
        <f>IF(S11=0,0,(+S11*Catálogo!$H34))</f>
        <v>0</v>
      </c>
      <c r="T76" s="25">
        <f>IF(T11=0,0,(+T11*Catálogo!$H34))</f>
        <v>0</v>
      </c>
      <c r="U76" s="25">
        <f>IF(U11=0,0,(+U11*Catálogo!$H34))</f>
        <v>0</v>
      </c>
      <c r="V76" s="25">
        <f>IF(V11=0,0,(+V11*Catálogo!$H34))</f>
        <v>0</v>
      </c>
      <c r="W76" s="25">
        <f>IF(W11=0,0,(+W11*Catálogo!$H34))</f>
        <v>0</v>
      </c>
      <c r="X76" s="25">
        <f>IF(X11=0,0,(+X11*Catálogo!$H34))</f>
        <v>0</v>
      </c>
      <c r="Y76" s="25">
        <f>IF(Y11=0,0,(+Y11*Catálogo!$H34))</f>
        <v>0</v>
      </c>
      <c r="Z76" s="25">
        <f>IF(Z11=0,0,(+Z11*Catálogo!$H34))</f>
        <v>0</v>
      </c>
      <c r="AA76" s="25">
        <f>IF(AA11=0,0,(+AA11*Catálogo!$H34))</f>
        <v>0</v>
      </c>
      <c r="AB76" s="25">
        <f>IF(AB11=0,0,(+AB11*Catálogo!$H34))</f>
        <v>0</v>
      </c>
      <c r="AC76" s="25">
        <f>IF(AC11=0,0,(+AC11*Catálogo!$H34))</f>
        <v>0</v>
      </c>
      <c r="AD76" s="25">
        <f>IF(AD11=0,0,(+AD11*Catálogo!$H34))</f>
        <v>0</v>
      </c>
      <c r="AE76" s="24">
        <f>IF(AE11=0,0,(+AE11*Catálogo!$H52))</f>
        <v>0</v>
      </c>
      <c r="AF76" s="24">
        <f>IF(AF11=0,0,(+AF11*Catálogo!$H52))</f>
        <v>0</v>
      </c>
      <c r="AG76" s="24">
        <f>IF(AG11=0,0,(+AG11*Catálogo!$H52))</f>
        <v>0</v>
      </c>
      <c r="AH76" s="24">
        <f>IF(AH11=0,0,(+AH11*Catálogo!$H52))</f>
        <v>0</v>
      </c>
      <c r="AI76" s="24">
        <f>IF(AI11=0,0,(+AI11*Catálogo!$H52))</f>
        <v>0</v>
      </c>
      <c r="AJ76" s="24">
        <f>IF(AJ11=0,0,(+AJ11*Catálogo!$H52))</f>
        <v>0</v>
      </c>
      <c r="AK76" s="24">
        <f>IF(AK11=0,0,(+AK11*Catálogo!$H52))</f>
        <v>0</v>
      </c>
      <c r="AL76" s="24">
        <f>IF(AL11=0,0,(+AL11*Catálogo!$H52))</f>
        <v>0</v>
      </c>
      <c r="AM76" s="24">
        <f>IF(AM11=0,0,(+AM11*Catálogo!$H52))</f>
        <v>0</v>
      </c>
      <c r="AN76" s="24">
        <f>IF(AN11=0,0,(+AN11*Catálogo!$H52))</f>
        <v>0</v>
      </c>
      <c r="AO76" s="24">
        <f>IF(AO11=0,0,(+AO11*Catálogo!$H52))</f>
        <v>0</v>
      </c>
      <c r="AP76" s="24">
        <f>IF(AP11=0,0,(+AP11*Catálogo!$H52))</f>
        <v>0</v>
      </c>
    </row>
    <row r="77" spans="1:42" ht="15.75" hidden="1" customHeight="1" outlineLevel="1">
      <c r="A77" s="21">
        <f t="shared" si="20"/>
        <v>0</v>
      </c>
      <c r="G77" s="24">
        <f>IF(G12=0,0,(+G12*Catálogo!$H16))</f>
        <v>0</v>
      </c>
      <c r="H77" s="24">
        <f>IF(H12=0,0,(+H12*Catálogo!$H16))</f>
        <v>0</v>
      </c>
      <c r="I77" s="24">
        <f>IF(I12=0,0,(+I12*Catálogo!$H16))</f>
        <v>0</v>
      </c>
      <c r="J77" s="24">
        <f>IF(J12=0,0,(+J12*Catálogo!$H16))</f>
        <v>0</v>
      </c>
      <c r="K77" s="24">
        <f>IF(K12=0,0,(+K12*Catálogo!$H16))</f>
        <v>0</v>
      </c>
      <c r="L77" s="24">
        <f>IF(L12=0,0,(+L12*Catálogo!$H16))</f>
        <v>0</v>
      </c>
      <c r="M77" s="24">
        <f>IF(M12=0,0,(+M12*Catálogo!$H16))</f>
        <v>0</v>
      </c>
      <c r="N77" s="24">
        <f>IF(N12=0,0,(+N12*Catálogo!$H16))</f>
        <v>0</v>
      </c>
      <c r="O77" s="24">
        <f>IF(O12=0,0,(+O12*Catálogo!$H16))</f>
        <v>0</v>
      </c>
      <c r="P77" s="24">
        <f>IF(P12=0,0,(+P12*Catálogo!$H16))</f>
        <v>0</v>
      </c>
      <c r="Q77" s="24">
        <f>IF(Q12=0,0,(+Q12*Catálogo!$H16))</f>
        <v>0</v>
      </c>
      <c r="R77" s="24">
        <f>IF(R12=0,0,(+R12*Catálogo!$H16))</f>
        <v>0</v>
      </c>
      <c r="S77" s="25">
        <f>IF(S12=0,0,(+S12*Catálogo!$H35))</f>
        <v>0</v>
      </c>
      <c r="T77" s="25">
        <f>IF(T12=0,0,(+T12*Catálogo!$H35))</f>
        <v>0</v>
      </c>
      <c r="U77" s="25">
        <f>IF(U12=0,0,(+U12*Catálogo!$H35))</f>
        <v>0</v>
      </c>
      <c r="V77" s="25">
        <f>IF(V12=0,0,(+V12*Catálogo!$H35))</f>
        <v>0</v>
      </c>
      <c r="W77" s="25">
        <f>IF(W12=0,0,(+W12*Catálogo!$H35))</f>
        <v>0</v>
      </c>
      <c r="X77" s="25">
        <f>IF(X12=0,0,(+X12*Catálogo!$H35))</f>
        <v>0</v>
      </c>
      <c r="Y77" s="25">
        <f>IF(Y12=0,0,(+Y12*Catálogo!$H35))</f>
        <v>0</v>
      </c>
      <c r="Z77" s="25">
        <f>IF(Z12=0,0,(+Z12*Catálogo!$H35))</f>
        <v>0</v>
      </c>
      <c r="AA77" s="25">
        <f>IF(AA12=0,0,(+AA12*Catálogo!$H35))</f>
        <v>0</v>
      </c>
      <c r="AB77" s="25">
        <f>IF(AB12=0,0,(+AB12*Catálogo!$H35))</f>
        <v>0</v>
      </c>
      <c r="AC77" s="25">
        <f>IF(AC12=0,0,(+AC12*Catálogo!$H35))</f>
        <v>0</v>
      </c>
      <c r="AD77" s="25">
        <f>IF(AD12=0,0,(+AD12*Catálogo!$H35))</f>
        <v>0</v>
      </c>
      <c r="AE77" s="24">
        <f>IF(AE12=0,0,(+AE12*Catálogo!$H53))</f>
        <v>0</v>
      </c>
      <c r="AF77" s="24">
        <f>IF(AF12=0,0,(+AF12*Catálogo!$H53))</f>
        <v>0</v>
      </c>
      <c r="AG77" s="24">
        <f>IF(AG12=0,0,(+AG12*Catálogo!$H53))</f>
        <v>0</v>
      </c>
      <c r="AH77" s="24">
        <f>IF(AH12=0,0,(+AH12*Catálogo!$H53))</f>
        <v>0</v>
      </c>
      <c r="AI77" s="24">
        <f>IF(AI12=0,0,(+AI12*Catálogo!$H53))</f>
        <v>0</v>
      </c>
      <c r="AJ77" s="24">
        <f>IF(AJ12=0,0,(+AJ12*Catálogo!$H53))</f>
        <v>0</v>
      </c>
      <c r="AK77" s="24">
        <f>IF(AK12=0,0,(+AK12*Catálogo!$H53))</f>
        <v>0</v>
      </c>
      <c r="AL77" s="24">
        <f>IF(AL12=0,0,(+AL12*Catálogo!$H53))</f>
        <v>0</v>
      </c>
      <c r="AM77" s="24">
        <f>IF(AM12=0,0,(+AM12*Catálogo!$H53))</f>
        <v>0</v>
      </c>
      <c r="AN77" s="24">
        <f>IF(AN12=0,0,(+AN12*Catálogo!$H53))</f>
        <v>0</v>
      </c>
      <c r="AO77" s="24">
        <f>IF(AO12=0,0,(+AO12*Catálogo!$H53))</f>
        <v>0</v>
      </c>
      <c r="AP77" s="24">
        <f>IF(AP12=0,0,(+AP12*Catálogo!$H53))</f>
        <v>0</v>
      </c>
    </row>
    <row r="78" spans="1:42" ht="15.75" hidden="1" customHeight="1" outlineLevel="1">
      <c r="A78" s="21">
        <f t="shared" si="20"/>
        <v>0</v>
      </c>
      <c r="G78" s="24">
        <f>IF(G13=0,0,(+G13*Catálogo!$H17))</f>
        <v>0</v>
      </c>
      <c r="H78" s="24">
        <f>IF(H13=0,0,(+H13*Catálogo!$H17))</f>
        <v>0</v>
      </c>
      <c r="I78" s="24">
        <f>IF(I13=0,0,(+I13*Catálogo!$H17))</f>
        <v>0</v>
      </c>
      <c r="J78" s="24">
        <f>IF(J13=0,0,(+J13*Catálogo!$H17))</f>
        <v>0</v>
      </c>
      <c r="K78" s="24">
        <f>IF(K13=0,0,(+K13*Catálogo!$H17))</f>
        <v>0</v>
      </c>
      <c r="L78" s="24">
        <f>IF(L13=0,0,(+L13*Catálogo!$H17))</f>
        <v>0</v>
      </c>
      <c r="M78" s="24">
        <f>IF(M13=0,0,(+M13*Catálogo!$H17))</f>
        <v>0</v>
      </c>
      <c r="N78" s="24">
        <f>IF(N13=0,0,(+N13*Catálogo!$H17))</f>
        <v>0</v>
      </c>
      <c r="O78" s="24">
        <f>IF(O13=0,0,(+O13*Catálogo!$H17))</f>
        <v>0</v>
      </c>
      <c r="P78" s="24">
        <f>IF(P13=0,0,(+P13*Catálogo!$H17))</f>
        <v>0</v>
      </c>
      <c r="Q78" s="24">
        <f>IF(Q13=0,0,(+Q13*Catálogo!$H17))</f>
        <v>0</v>
      </c>
      <c r="R78" s="24">
        <f>IF(R13=0,0,(+R13*Catálogo!$H17))</f>
        <v>0</v>
      </c>
      <c r="S78" s="25">
        <f>IF(S13=0,0,(+S13*Catálogo!$H36))</f>
        <v>0</v>
      </c>
      <c r="T78" s="25">
        <f>IF(T13=0,0,(+T13*Catálogo!$H36))</f>
        <v>0</v>
      </c>
      <c r="U78" s="25">
        <f>IF(U13=0,0,(+U13*Catálogo!$H36))</f>
        <v>0</v>
      </c>
      <c r="V78" s="25">
        <f>IF(V13=0,0,(+V13*Catálogo!$H36))</f>
        <v>0</v>
      </c>
      <c r="W78" s="25">
        <f>IF(W13=0,0,(+W13*Catálogo!$H36))</f>
        <v>0</v>
      </c>
      <c r="X78" s="25">
        <f>IF(X13=0,0,(+X13*Catálogo!$H36))</f>
        <v>0</v>
      </c>
      <c r="Y78" s="25">
        <f>IF(Y13=0,0,(+Y13*Catálogo!$H36))</f>
        <v>0</v>
      </c>
      <c r="Z78" s="25">
        <f>IF(Z13=0,0,(+Z13*Catálogo!$H36))</f>
        <v>0</v>
      </c>
      <c r="AA78" s="25">
        <f>IF(AA13=0,0,(+AA13*Catálogo!$H36))</f>
        <v>0</v>
      </c>
      <c r="AB78" s="25">
        <f>IF(AB13=0,0,(+AB13*Catálogo!$H36))</f>
        <v>0</v>
      </c>
      <c r="AC78" s="25">
        <f>IF(AC13=0,0,(+AC13*Catálogo!$H36))</f>
        <v>0</v>
      </c>
      <c r="AD78" s="25">
        <f>IF(AD13=0,0,(+AD13*Catálogo!$H36))</f>
        <v>0</v>
      </c>
      <c r="AE78" s="24">
        <f>IF(AE13=0,0,(+AE13*Catálogo!$H54))</f>
        <v>0</v>
      </c>
      <c r="AF78" s="24">
        <f>IF(AF13=0,0,(+AF13*Catálogo!$H54))</f>
        <v>0</v>
      </c>
      <c r="AG78" s="24">
        <f>IF(AG13=0,0,(+AG13*Catálogo!$H54))</f>
        <v>0</v>
      </c>
      <c r="AH78" s="24">
        <f>IF(AH13=0,0,(+AH13*Catálogo!$H54))</f>
        <v>0</v>
      </c>
      <c r="AI78" s="24">
        <f>IF(AI13=0,0,(+AI13*Catálogo!$H54))</f>
        <v>0</v>
      </c>
      <c r="AJ78" s="24">
        <f>IF(AJ13=0,0,(+AJ13*Catálogo!$H54))</f>
        <v>0</v>
      </c>
      <c r="AK78" s="24">
        <f>IF(AK13=0,0,(+AK13*Catálogo!$H54))</f>
        <v>0</v>
      </c>
      <c r="AL78" s="24">
        <f>IF(AL13=0,0,(+AL13*Catálogo!$H54))</f>
        <v>0</v>
      </c>
      <c r="AM78" s="24">
        <f>IF(AM13=0,0,(+AM13*Catálogo!$H54))</f>
        <v>0</v>
      </c>
      <c r="AN78" s="24">
        <f>IF(AN13=0,0,(+AN13*Catálogo!$H54))</f>
        <v>0</v>
      </c>
      <c r="AO78" s="24">
        <f>IF(AO13=0,0,(+AO13*Catálogo!$H54))</f>
        <v>0</v>
      </c>
      <c r="AP78" s="24">
        <f>IF(AP13=0,0,(+AP13*Catálogo!$H54))</f>
        <v>0</v>
      </c>
    </row>
    <row r="79" spans="1:42" ht="15.75" hidden="1" customHeight="1" outlineLevel="1">
      <c r="A79" s="21">
        <f t="shared" si="20"/>
        <v>0</v>
      </c>
      <c r="G79" s="24">
        <f>IF(G14=0,0,(+G14*Catálogo!$H18))</f>
        <v>0</v>
      </c>
      <c r="H79" s="24">
        <f>IF(H14=0,0,(+H14*Catálogo!$H18))</f>
        <v>0</v>
      </c>
      <c r="I79" s="24">
        <f>IF(I14=0,0,(+I14*Catálogo!$H18))</f>
        <v>0</v>
      </c>
      <c r="J79" s="24">
        <f>IF(J14=0,0,(+J14*Catálogo!$H18))</f>
        <v>0</v>
      </c>
      <c r="K79" s="24">
        <f>IF(K14=0,0,(+K14*Catálogo!$H18))</f>
        <v>0</v>
      </c>
      <c r="L79" s="24">
        <f>IF(L14=0,0,(+L14*Catálogo!$H18))</f>
        <v>0</v>
      </c>
      <c r="M79" s="24">
        <f>IF(M14=0,0,(+M14*Catálogo!$H18))</f>
        <v>0</v>
      </c>
      <c r="N79" s="24">
        <f>IF(N14=0,0,(+N14*Catálogo!$H18))</f>
        <v>0</v>
      </c>
      <c r="O79" s="24">
        <f>IF(O14=0,0,(+O14*Catálogo!$H18))</f>
        <v>0</v>
      </c>
      <c r="P79" s="24">
        <f>IF(P14=0,0,(+P14*Catálogo!$H18))</f>
        <v>0</v>
      </c>
      <c r="Q79" s="24">
        <f>IF(Q14=0,0,(+Q14*Catálogo!$H18))</f>
        <v>0</v>
      </c>
      <c r="R79" s="24">
        <f>IF(R14=0,0,(+R14*Catálogo!$H18))</f>
        <v>0</v>
      </c>
      <c r="S79" s="25">
        <f>IF(S14=0,0,(+S14*Catálogo!$H37))</f>
        <v>0</v>
      </c>
      <c r="T79" s="25">
        <f>IF(T14=0,0,(+T14*Catálogo!$H37))</f>
        <v>0</v>
      </c>
      <c r="U79" s="25">
        <f>IF(U14=0,0,(+U14*Catálogo!$H37))</f>
        <v>0</v>
      </c>
      <c r="V79" s="25">
        <f>IF(V14=0,0,(+V14*Catálogo!$H37))</f>
        <v>0</v>
      </c>
      <c r="W79" s="25">
        <f>IF(W14=0,0,(+W14*Catálogo!$H37))</f>
        <v>0</v>
      </c>
      <c r="X79" s="25">
        <f>IF(X14=0,0,(+X14*Catálogo!$H37))</f>
        <v>0</v>
      </c>
      <c r="Y79" s="25">
        <f>IF(Y14=0,0,(+Y14*Catálogo!$H37))</f>
        <v>0</v>
      </c>
      <c r="Z79" s="25">
        <f>IF(Z14=0,0,(+Z14*Catálogo!$H37))</f>
        <v>0</v>
      </c>
      <c r="AA79" s="25">
        <f>IF(AA14=0,0,(+AA14*Catálogo!$H37))</f>
        <v>0</v>
      </c>
      <c r="AB79" s="25">
        <f>IF(AB14=0,0,(+AB14*Catálogo!$H37))</f>
        <v>0</v>
      </c>
      <c r="AC79" s="25">
        <f>IF(AC14=0,0,(+AC14*Catálogo!$H37))</f>
        <v>0</v>
      </c>
      <c r="AD79" s="25">
        <f>IF(AD14=0,0,(+AD14*Catálogo!$H37))</f>
        <v>0</v>
      </c>
      <c r="AE79" s="24">
        <f>IF(AE14=0,0,(+AE14*Catálogo!$H55))</f>
        <v>0</v>
      </c>
      <c r="AF79" s="24">
        <f>IF(AF14=0,0,(+AF14*Catálogo!$H55))</f>
        <v>0</v>
      </c>
      <c r="AG79" s="24">
        <f>IF(AG14=0,0,(+AG14*Catálogo!$H55))</f>
        <v>0</v>
      </c>
      <c r="AH79" s="24">
        <f>IF(AH14=0,0,(+AH14*Catálogo!$H55))</f>
        <v>0</v>
      </c>
      <c r="AI79" s="24">
        <f>IF(AI14=0,0,(+AI14*Catálogo!$H55))</f>
        <v>0</v>
      </c>
      <c r="AJ79" s="24">
        <f>IF(AJ14=0,0,(+AJ14*Catálogo!$H55))</f>
        <v>0</v>
      </c>
      <c r="AK79" s="24">
        <f>IF(AK14=0,0,(+AK14*Catálogo!$H55))</f>
        <v>0</v>
      </c>
      <c r="AL79" s="24">
        <f>IF(AL14=0,0,(+AL14*Catálogo!$H55))</f>
        <v>0</v>
      </c>
      <c r="AM79" s="24">
        <f>IF(AM14=0,0,(+AM14*Catálogo!$H55))</f>
        <v>0</v>
      </c>
      <c r="AN79" s="24">
        <f>IF(AN14=0,0,(+AN14*Catálogo!$H55))</f>
        <v>0</v>
      </c>
      <c r="AO79" s="24">
        <f>IF(AO14=0,0,(+AO14*Catálogo!$H55))</f>
        <v>0</v>
      </c>
      <c r="AP79" s="24">
        <f>IF(AP14=0,0,(+AP14*Catálogo!$H55))</f>
        <v>0</v>
      </c>
    </row>
    <row r="80" spans="1:42" ht="15.75" hidden="1" customHeight="1" outlineLevel="1">
      <c r="A80" s="21">
        <f t="shared" si="20"/>
        <v>0</v>
      </c>
      <c r="G80" s="24">
        <f>IF(G15=0,0,(+G15*Catálogo!$H19))</f>
        <v>0</v>
      </c>
      <c r="H80" s="24">
        <f>IF(H15=0,0,(+H15*Catálogo!$H19))</f>
        <v>0</v>
      </c>
      <c r="I80" s="24">
        <f>IF(I15=0,0,(+I15*Catálogo!$H19))</f>
        <v>0</v>
      </c>
      <c r="J80" s="24">
        <f>IF(J15=0,0,(+J15*Catálogo!$H19))</f>
        <v>0</v>
      </c>
      <c r="K80" s="24">
        <f>IF(K15=0,0,(+K15*Catálogo!$H19))</f>
        <v>0</v>
      </c>
      <c r="L80" s="24">
        <f>IF(L15=0,0,(+L15*Catálogo!$H19))</f>
        <v>0</v>
      </c>
      <c r="M80" s="24">
        <f>IF(M15=0,0,(+M15*Catálogo!$H19))</f>
        <v>0</v>
      </c>
      <c r="N80" s="24">
        <f>IF(N15=0,0,(+N15*Catálogo!$H19))</f>
        <v>0</v>
      </c>
      <c r="O80" s="24">
        <f>IF(O15=0,0,(+O15*Catálogo!$H19))</f>
        <v>0</v>
      </c>
      <c r="P80" s="24">
        <f>IF(P15=0,0,(+P15*Catálogo!$H19))</f>
        <v>0</v>
      </c>
      <c r="Q80" s="24">
        <f>IF(Q15=0,0,(+Q15*Catálogo!$H19))</f>
        <v>0</v>
      </c>
      <c r="R80" s="24">
        <f>IF(R15=0,0,(+R15*Catálogo!$H19))</f>
        <v>0</v>
      </c>
      <c r="S80" s="25">
        <f>IF(S15=0,0,(+S15*Catálogo!$H38))</f>
        <v>0</v>
      </c>
      <c r="T80" s="25">
        <f>IF(T15=0,0,(+T15*Catálogo!$H38))</f>
        <v>0</v>
      </c>
      <c r="U80" s="25">
        <f>IF(U15=0,0,(+U15*Catálogo!$H38))</f>
        <v>0</v>
      </c>
      <c r="V80" s="25">
        <f>IF(V15=0,0,(+V15*Catálogo!$H38))</f>
        <v>0</v>
      </c>
      <c r="W80" s="25">
        <f>IF(W15=0,0,(+W15*Catálogo!$H38))</f>
        <v>0</v>
      </c>
      <c r="X80" s="25">
        <f>IF(X15=0,0,(+X15*Catálogo!$H38))</f>
        <v>0</v>
      </c>
      <c r="Y80" s="25">
        <f>IF(Y15=0,0,(+Y15*Catálogo!$H38))</f>
        <v>0</v>
      </c>
      <c r="Z80" s="25">
        <f>IF(Z15=0,0,(+Z15*Catálogo!$H38))</f>
        <v>0</v>
      </c>
      <c r="AA80" s="25">
        <f>IF(AA15=0,0,(+AA15*Catálogo!$H38))</f>
        <v>0</v>
      </c>
      <c r="AB80" s="25">
        <f>IF(AB15=0,0,(+AB15*Catálogo!$H38))</f>
        <v>0</v>
      </c>
      <c r="AC80" s="25">
        <f>IF(AC15=0,0,(+AC15*Catálogo!$H38))</f>
        <v>0</v>
      </c>
      <c r="AD80" s="25">
        <f>IF(AD15=0,0,(+AD15*Catálogo!$H38))</f>
        <v>0</v>
      </c>
      <c r="AE80" s="24">
        <f>IF(AE15=0,0,(+AE15*Catálogo!$H56))</f>
        <v>0</v>
      </c>
      <c r="AF80" s="24">
        <f>IF(AF15=0,0,(+AF15*Catálogo!$H56))</f>
        <v>0</v>
      </c>
      <c r="AG80" s="24">
        <f>IF(AG15=0,0,(+AG15*Catálogo!$H56))</f>
        <v>0</v>
      </c>
      <c r="AH80" s="24">
        <f>IF(AH15=0,0,(+AH15*Catálogo!$H56))</f>
        <v>0</v>
      </c>
      <c r="AI80" s="24">
        <f>IF(AI15=0,0,(+AI15*Catálogo!$H56))</f>
        <v>0</v>
      </c>
      <c r="AJ80" s="24">
        <f>IF(AJ15=0,0,(+AJ15*Catálogo!$H56))</f>
        <v>0</v>
      </c>
      <c r="AK80" s="24">
        <f>IF(AK15=0,0,(+AK15*Catálogo!$H56))</f>
        <v>0</v>
      </c>
      <c r="AL80" s="24">
        <f>IF(AL15=0,0,(+AL15*Catálogo!$H56))</f>
        <v>0</v>
      </c>
      <c r="AM80" s="24">
        <f>IF(AM15=0,0,(+AM15*Catálogo!$H56))</f>
        <v>0</v>
      </c>
      <c r="AN80" s="24">
        <f>IF(AN15=0,0,(+AN15*Catálogo!$H56))</f>
        <v>0</v>
      </c>
      <c r="AO80" s="24">
        <f>IF(AO15=0,0,(+AO15*Catálogo!$H56))</f>
        <v>0</v>
      </c>
      <c r="AP80" s="24">
        <f>IF(AP15=0,0,(+AP15*Catálogo!$H56))</f>
        <v>0</v>
      </c>
    </row>
    <row r="81" spans="1:44" ht="15.75" hidden="1" customHeight="1" outlineLevel="1">
      <c r="A81" s="21">
        <f t="shared" si="20"/>
        <v>0</v>
      </c>
      <c r="G81" s="24">
        <f>IF(G16=0,0,(+G16*Catálogo!$H20))</f>
        <v>0</v>
      </c>
      <c r="H81" s="24">
        <f>IF(H16=0,0,(+H16*Catálogo!$H20))</f>
        <v>0</v>
      </c>
      <c r="I81" s="24">
        <f>IF(I16=0,0,(+I16*Catálogo!$H20))</f>
        <v>0</v>
      </c>
      <c r="J81" s="24">
        <f>IF(J16=0,0,(+J16*Catálogo!$H20))</f>
        <v>0</v>
      </c>
      <c r="K81" s="24">
        <f>IF(K16=0,0,(+K16*Catálogo!$H20))</f>
        <v>0</v>
      </c>
      <c r="L81" s="24">
        <f>IF(L16=0,0,(+L16*Catálogo!$H20))</f>
        <v>0</v>
      </c>
      <c r="M81" s="24">
        <f>IF(M16=0,0,(+M16*Catálogo!$H20))</f>
        <v>0</v>
      </c>
      <c r="N81" s="24">
        <f>IF(N16=0,0,(+N16*Catálogo!$H20))</f>
        <v>0</v>
      </c>
      <c r="O81" s="24">
        <f>IF(O16=0,0,(+O16*Catálogo!$H20))</f>
        <v>0</v>
      </c>
      <c r="P81" s="24">
        <f>IF(P16=0,0,(+P16*Catálogo!$H20))</f>
        <v>0</v>
      </c>
      <c r="Q81" s="24">
        <f>IF(Q16=0,0,(+Q16*Catálogo!$H20))</f>
        <v>0</v>
      </c>
      <c r="R81" s="24">
        <f>IF(R16=0,0,(+R16*Catálogo!$H20))</f>
        <v>0</v>
      </c>
      <c r="S81" s="25">
        <f>IF(S16=0,0,(+S16*Catálogo!$H39))</f>
        <v>0</v>
      </c>
      <c r="T81" s="25">
        <f>IF(T16=0,0,(+T16*Catálogo!$H39))</f>
        <v>0</v>
      </c>
      <c r="U81" s="25">
        <f>IF(U16=0,0,(+U16*Catálogo!$H39))</f>
        <v>0</v>
      </c>
      <c r="V81" s="25">
        <f>IF(V16=0,0,(+V16*Catálogo!$H39))</f>
        <v>0</v>
      </c>
      <c r="W81" s="25">
        <f>IF(W16=0,0,(+W16*Catálogo!$H39))</f>
        <v>0</v>
      </c>
      <c r="X81" s="25">
        <f>IF(X16=0,0,(+X16*Catálogo!$H39))</f>
        <v>0</v>
      </c>
      <c r="Y81" s="25">
        <f>IF(Y16=0,0,(+Y16*Catálogo!$H39))</f>
        <v>0</v>
      </c>
      <c r="Z81" s="25">
        <f>IF(Z16=0,0,(+Z16*Catálogo!$H39))</f>
        <v>0</v>
      </c>
      <c r="AA81" s="25">
        <f>IF(AA16=0,0,(+AA16*Catálogo!$H39))</f>
        <v>0</v>
      </c>
      <c r="AB81" s="25">
        <f>IF(AB16=0,0,(+AB16*Catálogo!$H39))</f>
        <v>0</v>
      </c>
      <c r="AC81" s="25">
        <f>IF(AC16=0,0,(+AC16*Catálogo!$H39))</f>
        <v>0</v>
      </c>
      <c r="AD81" s="25">
        <f>IF(AD16=0,0,(+AD16*Catálogo!$H39))</f>
        <v>0</v>
      </c>
      <c r="AE81" s="24">
        <f>IF(AE16=0,0,(+AE16*Catálogo!$H57))</f>
        <v>0</v>
      </c>
      <c r="AF81" s="24">
        <f>IF(AF16=0,0,(+AF16*Catálogo!$H57))</f>
        <v>0</v>
      </c>
      <c r="AG81" s="24">
        <f>IF(AG16=0,0,(+AG16*Catálogo!$H57))</f>
        <v>0</v>
      </c>
      <c r="AH81" s="24">
        <f>IF(AH16=0,0,(+AH16*Catálogo!$H57))</f>
        <v>0</v>
      </c>
      <c r="AI81" s="24">
        <f>IF(AI16=0,0,(+AI16*Catálogo!$H57))</f>
        <v>0</v>
      </c>
      <c r="AJ81" s="24">
        <f>IF(AJ16=0,0,(+AJ16*Catálogo!$H57))</f>
        <v>0</v>
      </c>
      <c r="AK81" s="24">
        <f>IF(AK16=0,0,(+AK16*Catálogo!$H57))</f>
        <v>0</v>
      </c>
      <c r="AL81" s="24">
        <f>IF(AL16=0,0,(+AL16*Catálogo!$H57))</f>
        <v>0</v>
      </c>
      <c r="AM81" s="24">
        <f>IF(AM16=0,0,(+AM16*Catálogo!$H57))</f>
        <v>0</v>
      </c>
      <c r="AN81" s="24">
        <f>IF(AN16=0,0,(+AN16*Catálogo!$H57))</f>
        <v>0</v>
      </c>
      <c r="AO81" s="24">
        <f>IF(AO16=0,0,(+AO16*Catálogo!$H57))</f>
        <v>0</v>
      </c>
      <c r="AP81" s="24">
        <f>IF(AP16=0,0,(+AP16*Catálogo!$H57))</f>
        <v>0</v>
      </c>
    </row>
    <row r="82" spans="1:44" s="26" customFormat="1" collapsed="1">
      <c r="A82" s="26" t="s">
        <v>87</v>
      </c>
      <c r="G82" s="27">
        <f>SUM(G67:G81)</f>
        <v>0</v>
      </c>
      <c r="H82" s="27">
        <f t="shared" ref="H82:AP82" si="21">SUM(H67:H81)</f>
        <v>0</v>
      </c>
      <c r="I82" s="27">
        <f t="shared" si="21"/>
        <v>0</v>
      </c>
      <c r="J82" s="27">
        <f t="shared" si="21"/>
        <v>0</v>
      </c>
      <c r="K82" s="27">
        <f t="shared" si="21"/>
        <v>0</v>
      </c>
      <c r="L82" s="27">
        <f t="shared" si="21"/>
        <v>0</v>
      </c>
      <c r="M82" s="27">
        <f t="shared" si="21"/>
        <v>0</v>
      </c>
      <c r="N82" s="27">
        <f t="shared" si="21"/>
        <v>0</v>
      </c>
      <c r="O82" s="27">
        <f t="shared" si="21"/>
        <v>0</v>
      </c>
      <c r="P82" s="27">
        <f t="shared" si="21"/>
        <v>0</v>
      </c>
      <c r="Q82" s="27">
        <f t="shared" si="21"/>
        <v>0</v>
      </c>
      <c r="R82" s="27">
        <f t="shared" si="21"/>
        <v>0</v>
      </c>
      <c r="S82" s="27">
        <f t="shared" si="21"/>
        <v>0</v>
      </c>
      <c r="T82" s="27">
        <f t="shared" si="21"/>
        <v>0</v>
      </c>
      <c r="U82" s="27">
        <f t="shared" si="21"/>
        <v>0</v>
      </c>
      <c r="V82" s="27">
        <f t="shared" si="21"/>
        <v>0</v>
      </c>
      <c r="W82" s="27">
        <f t="shared" si="21"/>
        <v>0</v>
      </c>
      <c r="X82" s="27">
        <f t="shared" si="21"/>
        <v>0</v>
      </c>
      <c r="Y82" s="27">
        <f t="shared" si="21"/>
        <v>0</v>
      </c>
      <c r="Z82" s="27">
        <f t="shared" si="21"/>
        <v>0</v>
      </c>
      <c r="AA82" s="27">
        <f t="shared" si="21"/>
        <v>0</v>
      </c>
      <c r="AB82" s="27">
        <f t="shared" si="21"/>
        <v>0</v>
      </c>
      <c r="AC82" s="27">
        <f t="shared" si="21"/>
        <v>0</v>
      </c>
      <c r="AD82" s="27">
        <f t="shared" si="21"/>
        <v>0</v>
      </c>
      <c r="AE82" s="27">
        <f t="shared" si="21"/>
        <v>0</v>
      </c>
      <c r="AF82" s="27">
        <f t="shared" si="21"/>
        <v>0</v>
      </c>
      <c r="AG82" s="27">
        <f t="shared" si="21"/>
        <v>0</v>
      </c>
      <c r="AH82" s="27">
        <f t="shared" si="21"/>
        <v>0</v>
      </c>
      <c r="AI82" s="27">
        <f t="shared" si="21"/>
        <v>0</v>
      </c>
      <c r="AJ82" s="27">
        <f t="shared" si="21"/>
        <v>0</v>
      </c>
      <c r="AK82" s="27">
        <f t="shared" si="21"/>
        <v>0</v>
      </c>
      <c r="AL82" s="27">
        <f t="shared" si="21"/>
        <v>0</v>
      </c>
      <c r="AM82" s="27">
        <f t="shared" si="21"/>
        <v>0</v>
      </c>
      <c r="AN82" s="27">
        <f t="shared" si="21"/>
        <v>0</v>
      </c>
      <c r="AO82" s="27">
        <f t="shared" si="21"/>
        <v>0</v>
      </c>
      <c r="AP82" s="27">
        <f t="shared" si="21"/>
        <v>0</v>
      </c>
      <c r="AQ82" s="26" t="s">
        <v>381</v>
      </c>
      <c r="AR82" s="26" t="s">
        <v>380</v>
      </c>
    </row>
    <row r="83" spans="1:44" hidden="1" outlineLevel="1">
      <c r="A83" s="21">
        <f t="shared" ref="A83:A97" si="22">+A2</f>
        <v>0</v>
      </c>
      <c r="B83" s="23">
        <f>+Catálogo!I6</f>
        <v>0</v>
      </c>
      <c r="G83" s="24">
        <f>IF($B83=0,G67,IF($B83=30,F67,IF($B83=60,E67,IF($B83=90,D67,C67))))</f>
        <v>0</v>
      </c>
      <c r="H83" s="24">
        <f t="shared" ref="H83:R97" si="23">IF($B83=0,H67,IF($B83=30,G67,IF($B83=60,F67,IF($B83=90,E67,D67))))</f>
        <v>0</v>
      </c>
      <c r="I83" s="24">
        <f t="shared" si="23"/>
        <v>0</v>
      </c>
      <c r="J83" s="24">
        <f t="shared" si="23"/>
        <v>0</v>
      </c>
      <c r="K83" s="24">
        <f t="shared" si="23"/>
        <v>0</v>
      </c>
      <c r="L83" s="24">
        <f t="shared" si="23"/>
        <v>0</v>
      </c>
      <c r="M83" s="24">
        <f t="shared" si="23"/>
        <v>0</v>
      </c>
      <c r="N83" s="24">
        <f t="shared" si="23"/>
        <v>0</v>
      </c>
      <c r="O83" s="24">
        <f t="shared" si="23"/>
        <v>0</v>
      </c>
      <c r="P83" s="24">
        <f t="shared" si="23"/>
        <v>0</v>
      </c>
      <c r="Q83" s="24">
        <f t="shared" si="23"/>
        <v>0</v>
      </c>
      <c r="R83" s="24">
        <f t="shared" si="23"/>
        <v>0</v>
      </c>
      <c r="S83" s="25">
        <f t="shared" ref="S83:AD97" si="24">IF($AQ83=0,S67,IF($AQ83=30,R67,IF($AQ83=60,Q67,IF($AQ83=90,P67,O67))))</f>
        <v>0</v>
      </c>
      <c r="T83" s="25">
        <f t="shared" si="24"/>
        <v>0</v>
      </c>
      <c r="U83" s="25">
        <f t="shared" si="24"/>
        <v>0</v>
      </c>
      <c r="V83" s="25">
        <f t="shared" si="24"/>
        <v>0</v>
      </c>
      <c r="W83" s="25">
        <f t="shared" si="24"/>
        <v>0</v>
      </c>
      <c r="X83" s="25">
        <f t="shared" si="24"/>
        <v>0</v>
      </c>
      <c r="Y83" s="25">
        <f t="shared" si="24"/>
        <v>0</v>
      </c>
      <c r="Z83" s="25">
        <f t="shared" si="24"/>
        <v>0</v>
      </c>
      <c r="AA83" s="25">
        <f t="shared" si="24"/>
        <v>0</v>
      </c>
      <c r="AB83" s="25">
        <f t="shared" si="24"/>
        <v>0</v>
      </c>
      <c r="AC83" s="25">
        <f t="shared" si="24"/>
        <v>0</v>
      </c>
      <c r="AD83" s="25">
        <f t="shared" si="24"/>
        <v>0</v>
      </c>
      <c r="AE83" s="24">
        <f t="shared" ref="AE83:AP97" si="25">IF($AR83=0,AE67,IF($AR83=30,AD67,IF($AR83=60,AC67,IF($AR83=90,AB67,AA67))))</f>
        <v>0</v>
      </c>
      <c r="AF83" s="24">
        <f t="shared" si="25"/>
        <v>0</v>
      </c>
      <c r="AG83" s="24">
        <f t="shared" si="25"/>
        <v>0</v>
      </c>
      <c r="AH83" s="24">
        <f t="shared" si="25"/>
        <v>0</v>
      </c>
      <c r="AI83" s="24">
        <f t="shared" si="25"/>
        <v>0</v>
      </c>
      <c r="AJ83" s="24">
        <f t="shared" si="25"/>
        <v>0</v>
      </c>
      <c r="AK83" s="24">
        <f t="shared" si="25"/>
        <v>0</v>
      </c>
      <c r="AL83" s="24">
        <f t="shared" si="25"/>
        <v>0</v>
      </c>
      <c r="AM83" s="24">
        <f t="shared" si="25"/>
        <v>0</v>
      </c>
      <c r="AN83" s="24">
        <f t="shared" si="25"/>
        <v>0</v>
      </c>
      <c r="AO83" s="24">
        <f t="shared" si="25"/>
        <v>0</v>
      </c>
      <c r="AP83" s="24">
        <f t="shared" si="25"/>
        <v>0</v>
      </c>
      <c r="AQ83" s="21">
        <f>+Catálogo!H25</f>
        <v>0</v>
      </c>
      <c r="AR83" s="21">
        <f>+Catálogo!H43</f>
        <v>0</v>
      </c>
    </row>
    <row r="84" spans="1:44" hidden="1" outlineLevel="1">
      <c r="A84" s="21">
        <f t="shared" si="22"/>
        <v>0</v>
      </c>
      <c r="B84" s="23">
        <f>+Catálogo!I7</f>
        <v>0</v>
      </c>
      <c r="G84" s="24">
        <f t="shared" ref="G84:G97" si="26">IF($B84=0,G68,IF($B84=30,F68,IF($B84=60,E68,IF($B84=90,D68,C68))))</f>
        <v>0</v>
      </c>
      <c r="H84" s="24">
        <f t="shared" si="23"/>
        <v>0</v>
      </c>
      <c r="I84" s="24">
        <f t="shared" si="23"/>
        <v>0</v>
      </c>
      <c r="J84" s="24">
        <f t="shared" si="23"/>
        <v>0</v>
      </c>
      <c r="K84" s="24">
        <f t="shared" si="23"/>
        <v>0</v>
      </c>
      <c r="L84" s="24">
        <f t="shared" si="23"/>
        <v>0</v>
      </c>
      <c r="M84" s="24">
        <f t="shared" si="23"/>
        <v>0</v>
      </c>
      <c r="N84" s="24">
        <f t="shared" si="23"/>
        <v>0</v>
      </c>
      <c r="O84" s="24">
        <f t="shared" si="23"/>
        <v>0</v>
      </c>
      <c r="P84" s="24">
        <f t="shared" si="23"/>
        <v>0</v>
      </c>
      <c r="Q84" s="24">
        <f t="shared" si="23"/>
        <v>0</v>
      </c>
      <c r="R84" s="24">
        <f t="shared" si="23"/>
        <v>0</v>
      </c>
      <c r="S84" s="25">
        <f t="shared" si="24"/>
        <v>0</v>
      </c>
      <c r="T84" s="25">
        <f t="shared" si="24"/>
        <v>0</v>
      </c>
      <c r="U84" s="25">
        <f t="shared" si="24"/>
        <v>0</v>
      </c>
      <c r="V84" s="25">
        <f t="shared" si="24"/>
        <v>0</v>
      </c>
      <c r="W84" s="25">
        <f t="shared" si="24"/>
        <v>0</v>
      </c>
      <c r="X84" s="25">
        <f t="shared" si="24"/>
        <v>0</v>
      </c>
      <c r="Y84" s="25">
        <f t="shared" si="24"/>
        <v>0</v>
      </c>
      <c r="Z84" s="25">
        <f t="shared" si="24"/>
        <v>0</v>
      </c>
      <c r="AA84" s="25">
        <f t="shared" si="24"/>
        <v>0</v>
      </c>
      <c r="AB84" s="25">
        <f t="shared" si="24"/>
        <v>0</v>
      </c>
      <c r="AC84" s="25">
        <f t="shared" si="24"/>
        <v>0</v>
      </c>
      <c r="AD84" s="25">
        <f t="shared" si="24"/>
        <v>0</v>
      </c>
      <c r="AE84" s="24">
        <f t="shared" si="25"/>
        <v>0</v>
      </c>
      <c r="AF84" s="24">
        <f t="shared" si="25"/>
        <v>0</v>
      </c>
      <c r="AG84" s="24">
        <f t="shared" si="25"/>
        <v>0</v>
      </c>
      <c r="AH84" s="24">
        <f t="shared" si="25"/>
        <v>0</v>
      </c>
      <c r="AI84" s="24">
        <f t="shared" si="25"/>
        <v>0</v>
      </c>
      <c r="AJ84" s="24">
        <f t="shared" si="25"/>
        <v>0</v>
      </c>
      <c r="AK84" s="24">
        <f t="shared" si="25"/>
        <v>0</v>
      </c>
      <c r="AL84" s="24">
        <f t="shared" si="25"/>
        <v>0</v>
      </c>
      <c r="AM84" s="24">
        <f t="shared" si="25"/>
        <v>0</v>
      </c>
      <c r="AN84" s="24">
        <f t="shared" si="25"/>
        <v>0</v>
      </c>
      <c r="AO84" s="24">
        <f t="shared" si="25"/>
        <v>0</v>
      </c>
      <c r="AP84" s="24">
        <f t="shared" si="25"/>
        <v>0</v>
      </c>
      <c r="AQ84" s="21">
        <f>+Catálogo!H26</f>
        <v>0</v>
      </c>
      <c r="AR84" s="21">
        <f>+Catálogo!H44</f>
        <v>0</v>
      </c>
    </row>
    <row r="85" spans="1:44" hidden="1" outlineLevel="1">
      <c r="A85" s="21">
        <f t="shared" si="22"/>
        <v>0</v>
      </c>
      <c r="B85" s="23">
        <f>+Catálogo!I8</f>
        <v>0</v>
      </c>
      <c r="G85" s="24">
        <f t="shared" si="26"/>
        <v>0</v>
      </c>
      <c r="H85" s="24">
        <f t="shared" si="23"/>
        <v>0</v>
      </c>
      <c r="I85" s="24">
        <f t="shared" si="23"/>
        <v>0</v>
      </c>
      <c r="J85" s="24">
        <f t="shared" si="23"/>
        <v>0</v>
      </c>
      <c r="K85" s="24">
        <f t="shared" si="23"/>
        <v>0</v>
      </c>
      <c r="L85" s="24">
        <f t="shared" si="23"/>
        <v>0</v>
      </c>
      <c r="M85" s="24">
        <f t="shared" si="23"/>
        <v>0</v>
      </c>
      <c r="N85" s="24">
        <f t="shared" si="23"/>
        <v>0</v>
      </c>
      <c r="O85" s="24">
        <f t="shared" si="23"/>
        <v>0</v>
      </c>
      <c r="P85" s="24">
        <f t="shared" si="23"/>
        <v>0</v>
      </c>
      <c r="Q85" s="24">
        <f t="shared" si="23"/>
        <v>0</v>
      </c>
      <c r="R85" s="24">
        <f t="shared" si="23"/>
        <v>0</v>
      </c>
      <c r="S85" s="25">
        <f t="shared" si="24"/>
        <v>0</v>
      </c>
      <c r="T85" s="25">
        <f t="shared" si="24"/>
        <v>0</v>
      </c>
      <c r="U85" s="25">
        <f t="shared" si="24"/>
        <v>0</v>
      </c>
      <c r="V85" s="25">
        <f t="shared" si="24"/>
        <v>0</v>
      </c>
      <c r="W85" s="25">
        <f t="shared" si="24"/>
        <v>0</v>
      </c>
      <c r="X85" s="25">
        <f t="shared" si="24"/>
        <v>0</v>
      </c>
      <c r="Y85" s="25">
        <f t="shared" si="24"/>
        <v>0</v>
      </c>
      <c r="Z85" s="25">
        <f t="shared" si="24"/>
        <v>0</v>
      </c>
      <c r="AA85" s="25">
        <f t="shared" si="24"/>
        <v>0</v>
      </c>
      <c r="AB85" s="25">
        <f t="shared" si="24"/>
        <v>0</v>
      </c>
      <c r="AC85" s="25">
        <f t="shared" si="24"/>
        <v>0</v>
      </c>
      <c r="AD85" s="25">
        <f t="shared" si="24"/>
        <v>0</v>
      </c>
      <c r="AE85" s="24">
        <f t="shared" si="25"/>
        <v>0</v>
      </c>
      <c r="AF85" s="24">
        <f t="shared" si="25"/>
        <v>0</v>
      </c>
      <c r="AG85" s="24">
        <f t="shared" si="25"/>
        <v>0</v>
      </c>
      <c r="AH85" s="24">
        <f t="shared" si="25"/>
        <v>0</v>
      </c>
      <c r="AI85" s="24">
        <f t="shared" si="25"/>
        <v>0</v>
      </c>
      <c r="AJ85" s="24">
        <f t="shared" si="25"/>
        <v>0</v>
      </c>
      <c r="AK85" s="24">
        <f t="shared" si="25"/>
        <v>0</v>
      </c>
      <c r="AL85" s="24">
        <f t="shared" si="25"/>
        <v>0</v>
      </c>
      <c r="AM85" s="24">
        <f t="shared" si="25"/>
        <v>0</v>
      </c>
      <c r="AN85" s="24">
        <f t="shared" si="25"/>
        <v>0</v>
      </c>
      <c r="AO85" s="24">
        <f t="shared" si="25"/>
        <v>0</v>
      </c>
      <c r="AP85" s="24">
        <f t="shared" si="25"/>
        <v>0</v>
      </c>
      <c r="AQ85" s="21">
        <f>+Catálogo!H27</f>
        <v>0</v>
      </c>
      <c r="AR85" s="21">
        <f>+Catálogo!H45</f>
        <v>0</v>
      </c>
    </row>
    <row r="86" spans="1:44" hidden="1" outlineLevel="1">
      <c r="A86" s="21">
        <f t="shared" si="22"/>
        <v>0</v>
      </c>
      <c r="B86" s="23">
        <f>+Catálogo!I9</f>
        <v>0</v>
      </c>
      <c r="G86" s="24">
        <f t="shared" si="26"/>
        <v>0</v>
      </c>
      <c r="H86" s="24">
        <f t="shared" si="23"/>
        <v>0</v>
      </c>
      <c r="I86" s="24">
        <f t="shared" si="23"/>
        <v>0</v>
      </c>
      <c r="J86" s="24">
        <f t="shared" si="23"/>
        <v>0</v>
      </c>
      <c r="K86" s="24">
        <f t="shared" si="23"/>
        <v>0</v>
      </c>
      <c r="L86" s="24">
        <f t="shared" si="23"/>
        <v>0</v>
      </c>
      <c r="M86" s="24">
        <f t="shared" si="23"/>
        <v>0</v>
      </c>
      <c r="N86" s="24">
        <f t="shared" si="23"/>
        <v>0</v>
      </c>
      <c r="O86" s="24">
        <f t="shared" si="23"/>
        <v>0</v>
      </c>
      <c r="P86" s="24">
        <f t="shared" si="23"/>
        <v>0</v>
      </c>
      <c r="Q86" s="24">
        <f t="shared" si="23"/>
        <v>0</v>
      </c>
      <c r="R86" s="24">
        <f t="shared" si="23"/>
        <v>0</v>
      </c>
      <c r="S86" s="25">
        <f t="shared" si="24"/>
        <v>0</v>
      </c>
      <c r="T86" s="25">
        <f t="shared" si="24"/>
        <v>0</v>
      </c>
      <c r="U86" s="25">
        <f t="shared" si="24"/>
        <v>0</v>
      </c>
      <c r="V86" s="25">
        <f t="shared" si="24"/>
        <v>0</v>
      </c>
      <c r="W86" s="25">
        <f t="shared" si="24"/>
        <v>0</v>
      </c>
      <c r="X86" s="25">
        <f t="shared" si="24"/>
        <v>0</v>
      </c>
      <c r="Y86" s="25">
        <f t="shared" si="24"/>
        <v>0</v>
      </c>
      <c r="Z86" s="25">
        <f t="shared" si="24"/>
        <v>0</v>
      </c>
      <c r="AA86" s="25">
        <f t="shared" si="24"/>
        <v>0</v>
      </c>
      <c r="AB86" s="25">
        <f t="shared" si="24"/>
        <v>0</v>
      </c>
      <c r="AC86" s="25">
        <f t="shared" si="24"/>
        <v>0</v>
      </c>
      <c r="AD86" s="25">
        <f t="shared" si="24"/>
        <v>0</v>
      </c>
      <c r="AE86" s="24">
        <f t="shared" si="25"/>
        <v>0</v>
      </c>
      <c r="AF86" s="24">
        <f t="shared" si="25"/>
        <v>0</v>
      </c>
      <c r="AG86" s="24">
        <f t="shared" si="25"/>
        <v>0</v>
      </c>
      <c r="AH86" s="24">
        <f t="shared" si="25"/>
        <v>0</v>
      </c>
      <c r="AI86" s="24">
        <f t="shared" si="25"/>
        <v>0</v>
      </c>
      <c r="AJ86" s="24">
        <f t="shared" si="25"/>
        <v>0</v>
      </c>
      <c r="AK86" s="24">
        <f t="shared" si="25"/>
        <v>0</v>
      </c>
      <c r="AL86" s="24">
        <f t="shared" si="25"/>
        <v>0</v>
      </c>
      <c r="AM86" s="24">
        <f t="shared" si="25"/>
        <v>0</v>
      </c>
      <c r="AN86" s="24">
        <f t="shared" si="25"/>
        <v>0</v>
      </c>
      <c r="AO86" s="24">
        <f t="shared" si="25"/>
        <v>0</v>
      </c>
      <c r="AP86" s="24">
        <f t="shared" si="25"/>
        <v>0</v>
      </c>
      <c r="AQ86" s="21">
        <f>+Catálogo!H28</f>
        <v>0</v>
      </c>
      <c r="AR86" s="21">
        <f>+Catálogo!H46</f>
        <v>0</v>
      </c>
    </row>
    <row r="87" spans="1:44" hidden="1" outlineLevel="1">
      <c r="A87" s="21">
        <f t="shared" si="22"/>
        <v>0</v>
      </c>
      <c r="B87" s="23">
        <f>+Catálogo!I10</f>
        <v>0</v>
      </c>
      <c r="G87" s="24">
        <f t="shared" si="26"/>
        <v>0</v>
      </c>
      <c r="H87" s="24">
        <f t="shared" si="23"/>
        <v>0</v>
      </c>
      <c r="I87" s="24">
        <f t="shared" si="23"/>
        <v>0</v>
      </c>
      <c r="J87" s="24">
        <f t="shared" si="23"/>
        <v>0</v>
      </c>
      <c r="K87" s="24">
        <f t="shared" si="23"/>
        <v>0</v>
      </c>
      <c r="L87" s="24">
        <f t="shared" si="23"/>
        <v>0</v>
      </c>
      <c r="M87" s="24">
        <f t="shared" si="23"/>
        <v>0</v>
      </c>
      <c r="N87" s="24">
        <f t="shared" si="23"/>
        <v>0</v>
      </c>
      <c r="O87" s="24">
        <f t="shared" si="23"/>
        <v>0</v>
      </c>
      <c r="P87" s="24">
        <f t="shared" si="23"/>
        <v>0</v>
      </c>
      <c r="Q87" s="24">
        <f t="shared" si="23"/>
        <v>0</v>
      </c>
      <c r="R87" s="24">
        <f t="shared" si="23"/>
        <v>0</v>
      </c>
      <c r="S87" s="25">
        <f t="shared" si="24"/>
        <v>0</v>
      </c>
      <c r="T87" s="25">
        <f t="shared" si="24"/>
        <v>0</v>
      </c>
      <c r="U87" s="25">
        <f t="shared" si="24"/>
        <v>0</v>
      </c>
      <c r="V87" s="25">
        <f t="shared" si="24"/>
        <v>0</v>
      </c>
      <c r="W87" s="25">
        <f t="shared" si="24"/>
        <v>0</v>
      </c>
      <c r="X87" s="25">
        <f t="shared" si="24"/>
        <v>0</v>
      </c>
      <c r="Y87" s="25">
        <f t="shared" si="24"/>
        <v>0</v>
      </c>
      <c r="Z87" s="25">
        <f t="shared" si="24"/>
        <v>0</v>
      </c>
      <c r="AA87" s="25">
        <f t="shared" si="24"/>
        <v>0</v>
      </c>
      <c r="AB87" s="25">
        <f t="shared" si="24"/>
        <v>0</v>
      </c>
      <c r="AC87" s="25">
        <f t="shared" si="24"/>
        <v>0</v>
      </c>
      <c r="AD87" s="25">
        <f t="shared" si="24"/>
        <v>0</v>
      </c>
      <c r="AE87" s="24">
        <f t="shared" si="25"/>
        <v>0</v>
      </c>
      <c r="AF87" s="24">
        <f t="shared" si="25"/>
        <v>0</v>
      </c>
      <c r="AG87" s="24">
        <f t="shared" si="25"/>
        <v>0</v>
      </c>
      <c r="AH87" s="24">
        <f t="shared" si="25"/>
        <v>0</v>
      </c>
      <c r="AI87" s="24">
        <f t="shared" si="25"/>
        <v>0</v>
      </c>
      <c r="AJ87" s="24">
        <f t="shared" si="25"/>
        <v>0</v>
      </c>
      <c r="AK87" s="24">
        <f t="shared" si="25"/>
        <v>0</v>
      </c>
      <c r="AL87" s="24">
        <f t="shared" si="25"/>
        <v>0</v>
      </c>
      <c r="AM87" s="24">
        <f t="shared" si="25"/>
        <v>0</v>
      </c>
      <c r="AN87" s="24">
        <f t="shared" si="25"/>
        <v>0</v>
      </c>
      <c r="AO87" s="24">
        <f t="shared" si="25"/>
        <v>0</v>
      </c>
      <c r="AP87" s="24">
        <f t="shared" si="25"/>
        <v>0</v>
      </c>
      <c r="AQ87" s="21">
        <f>+Catálogo!H29</f>
        <v>0</v>
      </c>
      <c r="AR87" s="21">
        <f>+Catálogo!H47</f>
        <v>0</v>
      </c>
    </row>
    <row r="88" spans="1:44" hidden="1" outlineLevel="1">
      <c r="A88" s="21">
        <f t="shared" si="22"/>
        <v>0</v>
      </c>
      <c r="B88" s="23">
        <f>+Catálogo!I11</f>
        <v>0</v>
      </c>
      <c r="G88" s="24">
        <f t="shared" si="26"/>
        <v>0</v>
      </c>
      <c r="H88" s="24">
        <f t="shared" si="23"/>
        <v>0</v>
      </c>
      <c r="I88" s="24">
        <f t="shared" si="23"/>
        <v>0</v>
      </c>
      <c r="J88" s="24">
        <f t="shared" si="23"/>
        <v>0</v>
      </c>
      <c r="K88" s="24">
        <f t="shared" si="23"/>
        <v>0</v>
      </c>
      <c r="L88" s="24">
        <f t="shared" si="23"/>
        <v>0</v>
      </c>
      <c r="M88" s="24">
        <f t="shared" si="23"/>
        <v>0</v>
      </c>
      <c r="N88" s="24">
        <f t="shared" si="23"/>
        <v>0</v>
      </c>
      <c r="O88" s="24">
        <f t="shared" si="23"/>
        <v>0</v>
      </c>
      <c r="P88" s="24">
        <f t="shared" si="23"/>
        <v>0</v>
      </c>
      <c r="Q88" s="24">
        <f t="shared" si="23"/>
        <v>0</v>
      </c>
      <c r="R88" s="24">
        <f t="shared" si="23"/>
        <v>0</v>
      </c>
      <c r="S88" s="25">
        <f t="shared" si="24"/>
        <v>0</v>
      </c>
      <c r="T88" s="25">
        <f t="shared" si="24"/>
        <v>0</v>
      </c>
      <c r="U88" s="25">
        <f t="shared" si="24"/>
        <v>0</v>
      </c>
      <c r="V88" s="25">
        <f t="shared" si="24"/>
        <v>0</v>
      </c>
      <c r="W88" s="25">
        <f t="shared" si="24"/>
        <v>0</v>
      </c>
      <c r="X88" s="25">
        <f t="shared" si="24"/>
        <v>0</v>
      </c>
      <c r="Y88" s="25">
        <f t="shared" si="24"/>
        <v>0</v>
      </c>
      <c r="Z88" s="25">
        <f t="shared" si="24"/>
        <v>0</v>
      </c>
      <c r="AA88" s="25">
        <f t="shared" si="24"/>
        <v>0</v>
      </c>
      <c r="AB88" s="25">
        <f t="shared" si="24"/>
        <v>0</v>
      </c>
      <c r="AC88" s="25">
        <f t="shared" si="24"/>
        <v>0</v>
      </c>
      <c r="AD88" s="25">
        <f t="shared" si="24"/>
        <v>0</v>
      </c>
      <c r="AE88" s="24">
        <f t="shared" si="25"/>
        <v>0</v>
      </c>
      <c r="AF88" s="24">
        <f t="shared" si="25"/>
        <v>0</v>
      </c>
      <c r="AG88" s="24">
        <f t="shared" si="25"/>
        <v>0</v>
      </c>
      <c r="AH88" s="24">
        <f t="shared" si="25"/>
        <v>0</v>
      </c>
      <c r="AI88" s="24">
        <f t="shared" si="25"/>
        <v>0</v>
      </c>
      <c r="AJ88" s="24">
        <f t="shared" si="25"/>
        <v>0</v>
      </c>
      <c r="AK88" s="24">
        <f t="shared" si="25"/>
        <v>0</v>
      </c>
      <c r="AL88" s="24">
        <f t="shared" si="25"/>
        <v>0</v>
      </c>
      <c r="AM88" s="24">
        <f t="shared" si="25"/>
        <v>0</v>
      </c>
      <c r="AN88" s="24">
        <f t="shared" si="25"/>
        <v>0</v>
      </c>
      <c r="AO88" s="24">
        <f t="shared" si="25"/>
        <v>0</v>
      </c>
      <c r="AP88" s="24">
        <f t="shared" si="25"/>
        <v>0</v>
      </c>
      <c r="AQ88" s="21">
        <f>+Catálogo!H30</f>
        <v>0</v>
      </c>
      <c r="AR88" s="21">
        <f>+Catálogo!H48</f>
        <v>0</v>
      </c>
    </row>
    <row r="89" spans="1:44" hidden="1" outlineLevel="1">
      <c r="A89" s="21">
        <f t="shared" si="22"/>
        <v>0</v>
      </c>
      <c r="B89" s="23">
        <f>+Catálogo!I12</f>
        <v>0</v>
      </c>
      <c r="G89" s="24">
        <f t="shared" si="26"/>
        <v>0</v>
      </c>
      <c r="H89" s="24">
        <f t="shared" si="23"/>
        <v>0</v>
      </c>
      <c r="I89" s="24">
        <f t="shared" si="23"/>
        <v>0</v>
      </c>
      <c r="J89" s="24">
        <f t="shared" si="23"/>
        <v>0</v>
      </c>
      <c r="K89" s="24">
        <f t="shared" si="23"/>
        <v>0</v>
      </c>
      <c r="L89" s="24">
        <f t="shared" si="23"/>
        <v>0</v>
      </c>
      <c r="M89" s="24">
        <f t="shared" si="23"/>
        <v>0</v>
      </c>
      <c r="N89" s="24">
        <f t="shared" si="23"/>
        <v>0</v>
      </c>
      <c r="O89" s="24">
        <f t="shared" si="23"/>
        <v>0</v>
      </c>
      <c r="P89" s="24">
        <f t="shared" si="23"/>
        <v>0</v>
      </c>
      <c r="Q89" s="24">
        <f t="shared" si="23"/>
        <v>0</v>
      </c>
      <c r="R89" s="24">
        <f t="shared" si="23"/>
        <v>0</v>
      </c>
      <c r="S89" s="25">
        <f t="shared" si="24"/>
        <v>0</v>
      </c>
      <c r="T89" s="25">
        <f t="shared" si="24"/>
        <v>0</v>
      </c>
      <c r="U89" s="25">
        <f t="shared" si="24"/>
        <v>0</v>
      </c>
      <c r="V89" s="25">
        <f t="shared" si="24"/>
        <v>0</v>
      </c>
      <c r="W89" s="25">
        <f t="shared" si="24"/>
        <v>0</v>
      </c>
      <c r="X89" s="25">
        <f t="shared" si="24"/>
        <v>0</v>
      </c>
      <c r="Y89" s="25">
        <f t="shared" si="24"/>
        <v>0</v>
      </c>
      <c r="Z89" s="25">
        <f t="shared" si="24"/>
        <v>0</v>
      </c>
      <c r="AA89" s="25">
        <f t="shared" si="24"/>
        <v>0</v>
      </c>
      <c r="AB89" s="25">
        <f t="shared" si="24"/>
        <v>0</v>
      </c>
      <c r="AC89" s="25">
        <f t="shared" si="24"/>
        <v>0</v>
      </c>
      <c r="AD89" s="25">
        <f t="shared" si="24"/>
        <v>0</v>
      </c>
      <c r="AE89" s="24">
        <f t="shared" si="25"/>
        <v>0</v>
      </c>
      <c r="AF89" s="24">
        <f t="shared" si="25"/>
        <v>0</v>
      </c>
      <c r="AG89" s="24">
        <f t="shared" si="25"/>
        <v>0</v>
      </c>
      <c r="AH89" s="24">
        <f t="shared" si="25"/>
        <v>0</v>
      </c>
      <c r="AI89" s="24">
        <f t="shared" si="25"/>
        <v>0</v>
      </c>
      <c r="AJ89" s="24">
        <f t="shared" si="25"/>
        <v>0</v>
      </c>
      <c r="AK89" s="24">
        <f t="shared" si="25"/>
        <v>0</v>
      </c>
      <c r="AL89" s="24">
        <f t="shared" si="25"/>
        <v>0</v>
      </c>
      <c r="AM89" s="24">
        <f t="shared" si="25"/>
        <v>0</v>
      </c>
      <c r="AN89" s="24">
        <f t="shared" si="25"/>
        <v>0</v>
      </c>
      <c r="AO89" s="24">
        <f t="shared" si="25"/>
        <v>0</v>
      </c>
      <c r="AP89" s="24">
        <f t="shared" si="25"/>
        <v>0</v>
      </c>
      <c r="AQ89" s="21">
        <f>+Catálogo!H31</f>
        <v>0</v>
      </c>
      <c r="AR89" s="21">
        <f>+Catálogo!H49</f>
        <v>0</v>
      </c>
    </row>
    <row r="90" spans="1:44" hidden="1" outlineLevel="1">
      <c r="A90" s="21">
        <f t="shared" si="22"/>
        <v>0</v>
      </c>
      <c r="B90" s="23">
        <f>+Catálogo!I13</f>
        <v>0</v>
      </c>
      <c r="G90" s="24">
        <f t="shared" si="26"/>
        <v>0</v>
      </c>
      <c r="H90" s="24">
        <f t="shared" si="23"/>
        <v>0</v>
      </c>
      <c r="I90" s="24">
        <f t="shared" si="23"/>
        <v>0</v>
      </c>
      <c r="J90" s="24">
        <f t="shared" si="23"/>
        <v>0</v>
      </c>
      <c r="K90" s="24">
        <f t="shared" si="23"/>
        <v>0</v>
      </c>
      <c r="L90" s="24">
        <f t="shared" si="23"/>
        <v>0</v>
      </c>
      <c r="M90" s="24">
        <f t="shared" si="23"/>
        <v>0</v>
      </c>
      <c r="N90" s="24">
        <f t="shared" si="23"/>
        <v>0</v>
      </c>
      <c r="O90" s="24">
        <f t="shared" si="23"/>
        <v>0</v>
      </c>
      <c r="P90" s="24">
        <f t="shared" si="23"/>
        <v>0</v>
      </c>
      <c r="Q90" s="24">
        <f t="shared" si="23"/>
        <v>0</v>
      </c>
      <c r="R90" s="24">
        <f t="shared" si="23"/>
        <v>0</v>
      </c>
      <c r="S90" s="25">
        <f t="shared" si="24"/>
        <v>0</v>
      </c>
      <c r="T90" s="25">
        <f t="shared" si="24"/>
        <v>0</v>
      </c>
      <c r="U90" s="25">
        <f t="shared" si="24"/>
        <v>0</v>
      </c>
      <c r="V90" s="25">
        <f t="shared" si="24"/>
        <v>0</v>
      </c>
      <c r="W90" s="25">
        <f t="shared" si="24"/>
        <v>0</v>
      </c>
      <c r="X90" s="25">
        <f t="shared" si="24"/>
        <v>0</v>
      </c>
      <c r="Y90" s="25">
        <f t="shared" si="24"/>
        <v>0</v>
      </c>
      <c r="Z90" s="25">
        <f t="shared" si="24"/>
        <v>0</v>
      </c>
      <c r="AA90" s="25">
        <f t="shared" si="24"/>
        <v>0</v>
      </c>
      <c r="AB90" s="25">
        <f t="shared" si="24"/>
        <v>0</v>
      </c>
      <c r="AC90" s="25">
        <f t="shared" si="24"/>
        <v>0</v>
      </c>
      <c r="AD90" s="25">
        <f t="shared" si="24"/>
        <v>0</v>
      </c>
      <c r="AE90" s="24">
        <f t="shared" si="25"/>
        <v>0</v>
      </c>
      <c r="AF90" s="24">
        <f t="shared" si="25"/>
        <v>0</v>
      </c>
      <c r="AG90" s="24">
        <f t="shared" si="25"/>
        <v>0</v>
      </c>
      <c r="AH90" s="24">
        <f t="shared" si="25"/>
        <v>0</v>
      </c>
      <c r="AI90" s="24">
        <f t="shared" si="25"/>
        <v>0</v>
      </c>
      <c r="AJ90" s="24">
        <f t="shared" si="25"/>
        <v>0</v>
      </c>
      <c r="AK90" s="24">
        <f t="shared" si="25"/>
        <v>0</v>
      </c>
      <c r="AL90" s="24">
        <f t="shared" si="25"/>
        <v>0</v>
      </c>
      <c r="AM90" s="24">
        <f t="shared" si="25"/>
        <v>0</v>
      </c>
      <c r="AN90" s="24">
        <f t="shared" si="25"/>
        <v>0</v>
      </c>
      <c r="AO90" s="24">
        <f t="shared" si="25"/>
        <v>0</v>
      </c>
      <c r="AP90" s="24">
        <f t="shared" si="25"/>
        <v>0</v>
      </c>
      <c r="AQ90" s="21">
        <f>+Catálogo!H32</f>
        <v>0</v>
      </c>
      <c r="AR90" s="21">
        <f>+Catálogo!H50</f>
        <v>0</v>
      </c>
    </row>
    <row r="91" spans="1:44" hidden="1" outlineLevel="1">
      <c r="A91" s="21">
        <f t="shared" si="22"/>
        <v>0</v>
      </c>
      <c r="B91" s="23">
        <f>+Catálogo!I14</f>
        <v>0</v>
      </c>
      <c r="G91" s="24">
        <f t="shared" si="26"/>
        <v>0</v>
      </c>
      <c r="H91" s="24">
        <f t="shared" si="23"/>
        <v>0</v>
      </c>
      <c r="I91" s="24">
        <f t="shared" si="23"/>
        <v>0</v>
      </c>
      <c r="J91" s="24">
        <f t="shared" si="23"/>
        <v>0</v>
      </c>
      <c r="K91" s="24">
        <f t="shared" si="23"/>
        <v>0</v>
      </c>
      <c r="L91" s="24">
        <f t="shared" si="23"/>
        <v>0</v>
      </c>
      <c r="M91" s="24">
        <f t="shared" si="23"/>
        <v>0</v>
      </c>
      <c r="N91" s="24">
        <f t="shared" si="23"/>
        <v>0</v>
      </c>
      <c r="O91" s="24">
        <f t="shared" si="23"/>
        <v>0</v>
      </c>
      <c r="P91" s="24">
        <f t="shared" si="23"/>
        <v>0</v>
      </c>
      <c r="Q91" s="24">
        <f t="shared" si="23"/>
        <v>0</v>
      </c>
      <c r="R91" s="24">
        <f t="shared" si="23"/>
        <v>0</v>
      </c>
      <c r="S91" s="25">
        <f t="shared" si="24"/>
        <v>0</v>
      </c>
      <c r="T91" s="25">
        <f t="shared" si="24"/>
        <v>0</v>
      </c>
      <c r="U91" s="25">
        <f t="shared" si="24"/>
        <v>0</v>
      </c>
      <c r="V91" s="25">
        <f t="shared" si="24"/>
        <v>0</v>
      </c>
      <c r="W91" s="25">
        <f t="shared" si="24"/>
        <v>0</v>
      </c>
      <c r="X91" s="25">
        <f t="shared" si="24"/>
        <v>0</v>
      </c>
      <c r="Y91" s="25">
        <f t="shared" si="24"/>
        <v>0</v>
      </c>
      <c r="Z91" s="25">
        <f t="shared" si="24"/>
        <v>0</v>
      </c>
      <c r="AA91" s="25">
        <f t="shared" si="24"/>
        <v>0</v>
      </c>
      <c r="AB91" s="25">
        <f t="shared" si="24"/>
        <v>0</v>
      </c>
      <c r="AC91" s="25">
        <f t="shared" si="24"/>
        <v>0</v>
      </c>
      <c r="AD91" s="25">
        <f t="shared" si="24"/>
        <v>0</v>
      </c>
      <c r="AE91" s="24">
        <f t="shared" si="25"/>
        <v>0</v>
      </c>
      <c r="AF91" s="24">
        <f t="shared" si="25"/>
        <v>0</v>
      </c>
      <c r="AG91" s="24">
        <f t="shared" si="25"/>
        <v>0</v>
      </c>
      <c r="AH91" s="24">
        <f t="shared" si="25"/>
        <v>0</v>
      </c>
      <c r="AI91" s="24">
        <f t="shared" si="25"/>
        <v>0</v>
      </c>
      <c r="AJ91" s="24">
        <f t="shared" si="25"/>
        <v>0</v>
      </c>
      <c r="AK91" s="24">
        <f t="shared" si="25"/>
        <v>0</v>
      </c>
      <c r="AL91" s="24">
        <f t="shared" si="25"/>
        <v>0</v>
      </c>
      <c r="AM91" s="24">
        <f t="shared" si="25"/>
        <v>0</v>
      </c>
      <c r="AN91" s="24">
        <f t="shared" si="25"/>
        <v>0</v>
      </c>
      <c r="AO91" s="24">
        <f t="shared" si="25"/>
        <v>0</v>
      </c>
      <c r="AP91" s="24">
        <f t="shared" si="25"/>
        <v>0</v>
      </c>
      <c r="AQ91" s="21">
        <f>+Catálogo!H33</f>
        <v>0</v>
      </c>
      <c r="AR91" s="21">
        <f>+Catálogo!H51</f>
        <v>0</v>
      </c>
    </row>
    <row r="92" spans="1:44" hidden="1" outlineLevel="1">
      <c r="A92" s="21">
        <f t="shared" si="22"/>
        <v>0</v>
      </c>
      <c r="B92" s="23">
        <f>+Catálogo!I15</f>
        <v>0</v>
      </c>
      <c r="F92" s="21" t="s">
        <v>46</v>
      </c>
      <c r="G92" s="24">
        <f t="shared" si="26"/>
        <v>0</v>
      </c>
      <c r="H92" s="24">
        <f t="shared" si="23"/>
        <v>0</v>
      </c>
      <c r="I92" s="24">
        <f t="shared" si="23"/>
        <v>0</v>
      </c>
      <c r="J92" s="24">
        <f t="shared" si="23"/>
        <v>0</v>
      </c>
      <c r="K92" s="24">
        <f t="shared" si="23"/>
        <v>0</v>
      </c>
      <c r="L92" s="24">
        <f t="shared" si="23"/>
        <v>0</v>
      </c>
      <c r="M92" s="24">
        <f t="shared" si="23"/>
        <v>0</v>
      </c>
      <c r="N92" s="24">
        <f t="shared" si="23"/>
        <v>0</v>
      </c>
      <c r="O92" s="24">
        <f t="shared" si="23"/>
        <v>0</v>
      </c>
      <c r="P92" s="24">
        <f t="shared" si="23"/>
        <v>0</v>
      </c>
      <c r="Q92" s="24">
        <f t="shared" si="23"/>
        <v>0</v>
      </c>
      <c r="R92" s="24">
        <f t="shared" si="23"/>
        <v>0</v>
      </c>
      <c r="S92" s="25">
        <f t="shared" si="24"/>
        <v>0</v>
      </c>
      <c r="T92" s="25">
        <f t="shared" si="24"/>
        <v>0</v>
      </c>
      <c r="U92" s="25">
        <f t="shared" si="24"/>
        <v>0</v>
      </c>
      <c r="V92" s="25">
        <f t="shared" si="24"/>
        <v>0</v>
      </c>
      <c r="W92" s="25">
        <f t="shared" si="24"/>
        <v>0</v>
      </c>
      <c r="X92" s="25">
        <f t="shared" si="24"/>
        <v>0</v>
      </c>
      <c r="Y92" s="25">
        <f t="shared" si="24"/>
        <v>0</v>
      </c>
      <c r="Z92" s="25">
        <f t="shared" si="24"/>
        <v>0</v>
      </c>
      <c r="AA92" s="25">
        <f t="shared" si="24"/>
        <v>0</v>
      </c>
      <c r="AB92" s="25">
        <f t="shared" si="24"/>
        <v>0</v>
      </c>
      <c r="AC92" s="25">
        <f t="shared" si="24"/>
        <v>0</v>
      </c>
      <c r="AD92" s="25">
        <f t="shared" si="24"/>
        <v>0</v>
      </c>
      <c r="AE92" s="24">
        <f t="shared" si="25"/>
        <v>0</v>
      </c>
      <c r="AF92" s="24">
        <f t="shared" si="25"/>
        <v>0</v>
      </c>
      <c r="AG92" s="24">
        <f t="shared" si="25"/>
        <v>0</v>
      </c>
      <c r="AH92" s="24">
        <f t="shared" si="25"/>
        <v>0</v>
      </c>
      <c r="AI92" s="24">
        <f t="shared" si="25"/>
        <v>0</v>
      </c>
      <c r="AJ92" s="24">
        <f t="shared" si="25"/>
        <v>0</v>
      </c>
      <c r="AK92" s="24">
        <f t="shared" si="25"/>
        <v>0</v>
      </c>
      <c r="AL92" s="24">
        <f t="shared" si="25"/>
        <v>0</v>
      </c>
      <c r="AM92" s="24">
        <f t="shared" si="25"/>
        <v>0</v>
      </c>
      <c r="AN92" s="24">
        <f t="shared" si="25"/>
        <v>0</v>
      </c>
      <c r="AO92" s="24">
        <f t="shared" si="25"/>
        <v>0</v>
      </c>
      <c r="AP92" s="24">
        <f t="shared" si="25"/>
        <v>0</v>
      </c>
      <c r="AQ92" s="21">
        <f>+Catálogo!H34</f>
        <v>0</v>
      </c>
      <c r="AR92" s="21">
        <f>+Catálogo!H52</f>
        <v>0</v>
      </c>
    </row>
    <row r="93" spans="1:44" hidden="1" outlineLevel="1">
      <c r="A93" s="21">
        <f t="shared" si="22"/>
        <v>0</v>
      </c>
      <c r="B93" s="23">
        <f>+Catálogo!I16</f>
        <v>0</v>
      </c>
      <c r="G93" s="24">
        <f t="shared" si="26"/>
        <v>0</v>
      </c>
      <c r="H93" s="24">
        <f t="shared" si="23"/>
        <v>0</v>
      </c>
      <c r="I93" s="24">
        <f t="shared" si="23"/>
        <v>0</v>
      </c>
      <c r="J93" s="24">
        <f t="shared" si="23"/>
        <v>0</v>
      </c>
      <c r="K93" s="24">
        <f t="shared" si="23"/>
        <v>0</v>
      </c>
      <c r="L93" s="24">
        <f t="shared" si="23"/>
        <v>0</v>
      </c>
      <c r="M93" s="24">
        <f t="shared" si="23"/>
        <v>0</v>
      </c>
      <c r="N93" s="24">
        <f t="shared" si="23"/>
        <v>0</v>
      </c>
      <c r="O93" s="24">
        <f t="shared" si="23"/>
        <v>0</v>
      </c>
      <c r="P93" s="24">
        <f t="shared" si="23"/>
        <v>0</v>
      </c>
      <c r="Q93" s="24">
        <f t="shared" si="23"/>
        <v>0</v>
      </c>
      <c r="R93" s="24">
        <f t="shared" si="23"/>
        <v>0</v>
      </c>
      <c r="S93" s="25">
        <f t="shared" si="24"/>
        <v>0</v>
      </c>
      <c r="T93" s="25">
        <f t="shared" si="24"/>
        <v>0</v>
      </c>
      <c r="U93" s="25">
        <f t="shared" si="24"/>
        <v>0</v>
      </c>
      <c r="V93" s="25">
        <f t="shared" si="24"/>
        <v>0</v>
      </c>
      <c r="W93" s="25">
        <f t="shared" si="24"/>
        <v>0</v>
      </c>
      <c r="X93" s="25">
        <f t="shared" si="24"/>
        <v>0</v>
      </c>
      <c r="Y93" s="25">
        <f t="shared" si="24"/>
        <v>0</v>
      </c>
      <c r="Z93" s="25">
        <f t="shared" si="24"/>
        <v>0</v>
      </c>
      <c r="AA93" s="25">
        <f t="shared" si="24"/>
        <v>0</v>
      </c>
      <c r="AB93" s="25">
        <f t="shared" si="24"/>
        <v>0</v>
      </c>
      <c r="AC93" s="25">
        <f t="shared" si="24"/>
        <v>0</v>
      </c>
      <c r="AD93" s="25">
        <f t="shared" si="24"/>
        <v>0</v>
      </c>
      <c r="AE93" s="24">
        <f t="shared" si="25"/>
        <v>0</v>
      </c>
      <c r="AF93" s="24">
        <f t="shared" si="25"/>
        <v>0</v>
      </c>
      <c r="AG93" s="24">
        <f t="shared" si="25"/>
        <v>0</v>
      </c>
      <c r="AH93" s="24">
        <f t="shared" si="25"/>
        <v>0</v>
      </c>
      <c r="AI93" s="24">
        <f t="shared" si="25"/>
        <v>0</v>
      </c>
      <c r="AJ93" s="24">
        <f t="shared" si="25"/>
        <v>0</v>
      </c>
      <c r="AK93" s="24">
        <f t="shared" si="25"/>
        <v>0</v>
      </c>
      <c r="AL93" s="24">
        <f t="shared" si="25"/>
        <v>0</v>
      </c>
      <c r="AM93" s="24">
        <f t="shared" si="25"/>
        <v>0</v>
      </c>
      <c r="AN93" s="24">
        <f t="shared" si="25"/>
        <v>0</v>
      </c>
      <c r="AO93" s="24">
        <f t="shared" si="25"/>
        <v>0</v>
      </c>
      <c r="AP93" s="24">
        <f t="shared" si="25"/>
        <v>0</v>
      </c>
      <c r="AQ93" s="21">
        <f>+Catálogo!H35</f>
        <v>0</v>
      </c>
      <c r="AR93" s="21">
        <f>+Catálogo!H53</f>
        <v>0</v>
      </c>
    </row>
    <row r="94" spans="1:44" hidden="1" outlineLevel="1">
      <c r="A94" s="21">
        <f t="shared" si="22"/>
        <v>0</v>
      </c>
      <c r="B94" s="23">
        <f>+Catálogo!I17</f>
        <v>0</v>
      </c>
      <c r="G94" s="24">
        <f t="shared" si="26"/>
        <v>0</v>
      </c>
      <c r="H94" s="24">
        <f t="shared" si="23"/>
        <v>0</v>
      </c>
      <c r="I94" s="24">
        <f t="shared" si="23"/>
        <v>0</v>
      </c>
      <c r="J94" s="24">
        <f t="shared" si="23"/>
        <v>0</v>
      </c>
      <c r="K94" s="24">
        <f t="shared" si="23"/>
        <v>0</v>
      </c>
      <c r="L94" s="24">
        <f t="shared" si="23"/>
        <v>0</v>
      </c>
      <c r="M94" s="24">
        <f t="shared" si="23"/>
        <v>0</v>
      </c>
      <c r="N94" s="24">
        <f t="shared" si="23"/>
        <v>0</v>
      </c>
      <c r="O94" s="24">
        <f t="shared" si="23"/>
        <v>0</v>
      </c>
      <c r="P94" s="24">
        <f t="shared" si="23"/>
        <v>0</v>
      </c>
      <c r="Q94" s="24">
        <f t="shared" si="23"/>
        <v>0</v>
      </c>
      <c r="R94" s="24">
        <f t="shared" si="23"/>
        <v>0</v>
      </c>
      <c r="S94" s="25">
        <f t="shared" si="24"/>
        <v>0</v>
      </c>
      <c r="T94" s="25">
        <f t="shared" si="24"/>
        <v>0</v>
      </c>
      <c r="U94" s="25">
        <f t="shared" si="24"/>
        <v>0</v>
      </c>
      <c r="V94" s="25">
        <f t="shared" si="24"/>
        <v>0</v>
      </c>
      <c r="W94" s="25">
        <f t="shared" si="24"/>
        <v>0</v>
      </c>
      <c r="X94" s="25">
        <f t="shared" si="24"/>
        <v>0</v>
      </c>
      <c r="Y94" s="25">
        <f t="shared" si="24"/>
        <v>0</v>
      </c>
      <c r="Z94" s="25">
        <f t="shared" si="24"/>
        <v>0</v>
      </c>
      <c r="AA94" s="25">
        <f t="shared" si="24"/>
        <v>0</v>
      </c>
      <c r="AB94" s="25">
        <f t="shared" si="24"/>
        <v>0</v>
      </c>
      <c r="AC94" s="25">
        <f t="shared" si="24"/>
        <v>0</v>
      </c>
      <c r="AD94" s="25">
        <f t="shared" si="24"/>
        <v>0</v>
      </c>
      <c r="AE94" s="24">
        <f t="shared" si="25"/>
        <v>0</v>
      </c>
      <c r="AF94" s="24">
        <f t="shared" si="25"/>
        <v>0</v>
      </c>
      <c r="AG94" s="24">
        <f t="shared" si="25"/>
        <v>0</v>
      </c>
      <c r="AH94" s="24">
        <f t="shared" si="25"/>
        <v>0</v>
      </c>
      <c r="AI94" s="24">
        <f t="shared" si="25"/>
        <v>0</v>
      </c>
      <c r="AJ94" s="24">
        <f t="shared" si="25"/>
        <v>0</v>
      </c>
      <c r="AK94" s="24">
        <f t="shared" si="25"/>
        <v>0</v>
      </c>
      <c r="AL94" s="24">
        <f t="shared" si="25"/>
        <v>0</v>
      </c>
      <c r="AM94" s="24">
        <f t="shared" si="25"/>
        <v>0</v>
      </c>
      <c r="AN94" s="24">
        <f t="shared" si="25"/>
        <v>0</v>
      </c>
      <c r="AO94" s="24">
        <f t="shared" si="25"/>
        <v>0</v>
      </c>
      <c r="AP94" s="24">
        <f t="shared" si="25"/>
        <v>0</v>
      </c>
      <c r="AQ94" s="21">
        <f>+Catálogo!H36</f>
        <v>0</v>
      </c>
      <c r="AR94" s="21">
        <f>+Catálogo!H54</f>
        <v>0</v>
      </c>
    </row>
    <row r="95" spans="1:44" hidden="1" outlineLevel="1">
      <c r="A95" s="21">
        <f t="shared" si="22"/>
        <v>0</v>
      </c>
      <c r="B95" s="23">
        <f>+Catálogo!I18</f>
        <v>0</v>
      </c>
      <c r="G95" s="24">
        <f t="shared" si="26"/>
        <v>0</v>
      </c>
      <c r="H95" s="24">
        <f t="shared" si="23"/>
        <v>0</v>
      </c>
      <c r="I95" s="24">
        <f t="shared" si="23"/>
        <v>0</v>
      </c>
      <c r="J95" s="24">
        <f t="shared" si="23"/>
        <v>0</v>
      </c>
      <c r="K95" s="24">
        <f t="shared" si="23"/>
        <v>0</v>
      </c>
      <c r="L95" s="24">
        <f t="shared" si="23"/>
        <v>0</v>
      </c>
      <c r="M95" s="24">
        <f t="shared" si="23"/>
        <v>0</v>
      </c>
      <c r="N95" s="24">
        <f t="shared" si="23"/>
        <v>0</v>
      </c>
      <c r="O95" s="24">
        <f t="shared" si="23"/>
        <v>0</v>
      </c>
      <c r="P95" s="24">
        <f t="shared" si="23"/>
        <v>0</v>
      </c>
      <c r="Q95" s="24">
        <f t="shared" si="23"/>
        <v>0</v>
      </c>
      <c r="R95" s="24">
        <f t="shared" si="23"/>
        <v>0</v>
      </c>
      <c r="S95" s="25">
        <f t="shared" si="24"/>
        <v>0</v>
      </c>
      <c r="T95" s="25">
        <f t="shared" si="24"/>
        <v>0</v>
      </c>
      <c r="U95" s="25">
        <f t="shared" si="24"/>
        <v>0</v>
      </c>
      <c r="V95" s="25">
        <f t="shared" si="24"/>
        <v>0</v>
      </c>
      <c r="W95" s="25">
        <f t="shared" si="24"/>
        <v>0</v>
      </c>
      <c r="X95" s="25">
        <f t="shared" si="24"/>
        <v>0</v>
      </c>
      <c r="Y95" s="25">
        <f t="shared" si="24"/>
        <v>0</v>
      </c>
      <c r="Z95" s="25">
        <f t="shared" si="24"/>
        <v>0</v>
      </c>
      <c r="AA95" s="25">
        <f t="shared" si="24"/>
        <v>0</v>
      </c>
      <c r="AB95" s="25">
        <f t="shared" si="24"/>
        <v>0</v>
      </c>
      <c r="AC95" s="25">
        <f t="shared" si="24"/>
        <v>0</v>
      </c>
      <c r="AD95" s="25">
        <f t="shared" si="24"/>
        <v>0</v>
      </c>
      <c r="AE95" s="24">
        <f t="shared" si="25"/>
        <v>0</v>
      </c>
      <c r="AF95" s="24">
        <f t="shared" si="25"/>
        <v>0</v>
      </c>
      <c r="AG95" s="24">
        <f t="shared" si="25"/>
        <v>0</v>
      </c>
      <c r="AH95" s="24">
        <f t="shared" si="25"/>
        <v>0</v>
      </c>
      <c r="AI95" s="24">
        <f t="shared" si="25"/>
        <v>0</v>
      </c>
      <c r="AJ95" s="24">
        <f t="shared" si="25"/>
        <v>0</v>
      </c>
      <c r="AK95" s="24">
        <f t="shared" si="25"/>
        <v>0</v>
      </c>
      <c r="AL95" s="24">
        <f t="shared" si="25"/>
        <v>0</v>
      </c>
      <c r="AM95" s="24">
        <f t="shared" si="25"/>
        <v>0</v>
      </c>
      <c r="AN95" s="24">
        <f t="shared" si="25"/>
        <v>0</v>
      </c>
      <c r="AO95" s="24">
        <f t="shared" si="25"/>
        <v>0</v>
      </c>
      <c r="AP95" s="24">
        <f t="shared" si="25"/>
        <v>0</v>
      </c>
      <c r="AQ95" s="21">
        <f>+Catálogo!H37</f>
        <v>0</v>
      </c>
      <c r="AR95" s="21">
        <f>+Catálogo!H55</f>
        <v>0</v>
      </c>
    </row>
    <row r="96" spans="1:44" hidden="1" outlineLevel="1">
      <c r="A96" s="21">
        <f t="shared" si="22"/>
        <v>0</v>
      </c>
      <c r="B96" s="23">
        <f>+Catálogo!I19</f>
        <v>0</v>
      </c>
      <c r="G96" s="24">
        <f t="shared" si="26"/>
        <v>0</v>
      </c>
      <c r="H96" s="24">
        <f t="shared" si="23"/>
        <v>0</v>
      </c>
      <c r="I96" s="24">
        <f t="shared" si="23"/>
        <v>0</v>
      </c>
      <c r="J96" s="24">
        <f t="shared" si="23"/>
        <v>0</v>
      </c>
      <c r="K96" s="24">
        <f t="shared" si="23"/>
        <v>0</v>
      </c>
      <c r="L96" s="24">
        <f t="shared" si="23"/>
        <v>0</v>
      </c>
      <c r="M96" s="24">
        <f t="shared" si="23"/>
        <v>0</v>
      </c>
      <c r="N96" s="24">
        <f t="shared" si="23"/>
        <v>0</v>
      </c>
      <c r="O96" s="24">
        <f t="shared" si="23"/>
        <v>0</v>
      </c>
      <c r="P96" s="24">
        <f t="shared" si="23"/>
        <v>0</v>
      </c>
      <c r="Q96" s="24">
        <f t="shared" si="23"/>
        <v>0</v>
      </c>
      <c r="R96" s="24">
        <f t="shared" si="23"/>
        <v>0</v>
      </c>
      <c r="S96" s="25">
        <f t="shared" si="24"/>
        <v>0</v>
      </c>
      <c r="T96" s="25">
        <f t="shared" si="24"/>
        <v>0</v>
      </c>
      <c r="U96" s="25">
        <f t="shared" si="24"/>
        <v>0</v>
      </c>
      <c r="V96" s="25">
        <f t="shared" si="24"/>
        <v>0</v>
      </c>
      <c r="W96" s="25">
        <f t="shared" si="24"/>
        <v>0</v>
      </c>
      <c r="X96" s="25">
        <f t="shared" si="24"/>
        <v>0</v>
      </c>
      <c r="Y96" s="25">
        <f t="shared" si="24"/>
        <v>0</v>
      </c>
      <c r="Z96" s="25">
        <f t="shared" si="24"/>
        <v>0</v>
      </c>
      <c r="AA96" s="25">
        <f t="shared" si="24"/>
        <v>0</v>
      </c>
      <c r="AB96" s="25">
        <f t="shared" si="24"/>
        <v>0</v>
      </c>
      <c r="AC96" s="25">
        <f t="shared" si="24"/>
        <v>0</v>
      </c>
      <c r="AD96" s="25">
        <f t="shared" si="24"/>
        <v>0</v>
      </c>
      <c r="AE96" s="24">
        <f t="shared" si="25"/>
        <v>0</v>
      </c>
      <c r="AF96" s="24">
        <f t="shared" si="25"/>
        <v>0</v>
      </c>
      <c r="AG96" s="24">
        <f t="shared" si="25"/>
        <v>0</v>
      </c>
      <c r="AH96" s="24">
        <f t="shared" si="25"/>
        <v>0</v>
      </c>
      <c r="AI96" s="24">
        <f t="shared" si="25"/>
        <v>0</v>
      </c>
      <c r="AJ96" s="24">
        <f t="shared" si="25"/>
        <v>0</v>
      </c>
      <c r="AK96" s="24">
        <f t="shared" si="25"/>
        <v>0</v>
      </c>
      <c r="AL96" s="24">
        <f t="shared" si="25"/>
        <v>0</v>
      </c>
      <c r="AM96" s="24">
        <f t="shared" si="25"/>
        <v>0</v>
      </c>
      <c r="AN96" s="24">
        <f t="shared" si="25"/>
        <v>0</v>
      </c>
      <c r="AO96" s="24">
        <f t="shared" si="25"/>
        <v>0</v>
      </c>
      <c r="AP96" s="24">
        <f t="shared" si="25"/>
        <v>0</v>
      </c>
      <c r="AQ96" s="21">
        <f>+Catálogo!H38</f>
        <v>0</v>
      </c>
      <c r="AR96" s="21">
        <f>+Catálogo!H56</f>
        <v>0</v>
      </c>
    </row>
    <row r="97" spans="1:44" hidden="1" outlineLevel="1">
      <c r="A97" s="21">
        <f t="shared" si="22"/>
        <v>0</v>
      </c>
      <c r="B97" s="23">
        <f>+Catálogo!I20</f>
        <v>0</v>
      </c>
      <c r="G97" s="24">
        <f t="shared" si="26"/>
        <v>0</v>
      </c>
      <c r="H97" s="24">
        <f t="shared" si="23"/>
        <v>0</v>
      </c>
      <c r="I97" s="24">
        <f t="shared" si="23"/>
        <v>0</v>
      </c>
      <c r="J97" s="24">
        <f t="shared" si="23"/>
        <v>0</v>
      </c>
      <c r="K97" s="24">
        <f t="shared" si="23"/>
        <v>0</v>
      </c>
      <c r="L97" s="24">
        <f t="shared" si="23"/>
        <v>0</v>
      </c>
      <c r="M97" s="24">
        <f t="shared" si="23"/>
        <v>0</v>
      </c>
      <c r="N97" s="24">
        <f t="shared" si="23"/>
        <v>0</v>
      </c>
      <c r="O97" s="24">
        <f t="shared" si="23"/>
        <v>0</v>
      </c>
      <c r="P97" s="24">
        <f t="shared" si="23"/>
        <v>0</v>
      </c>
      <c r="Q97" s="24">
        <f t="shared" si="23"/>
        <v>0</v>
      </c>
      <c r="R97" s="24">
        <f t="shared" si="23"/>
        <v>0</v>
      </c>
      <c r="S97" s="25">
        <f t="shared" si="24"/>
        <v>0</v>
      </c>
      <c r="T97" s="25">
        <f t="shared" si="24"/>
        <v>0</v>
      </c>
      <c r="U97" s="25">
        <f t="shared" si="24"/>
        <v>0</v>
      </c>
      <c r="V97" s="25">
        <f t="shared" si="24"/>
        <v>0</v>
      </c>
      <c r="W97" s="25">
        <f t="shared" si="24"/>
        <v>0</v>
      </c>
      <c r="X97" s="25">
        <f t="shared" si="24"/>
        <v>0</v>
      </c>
      <c r="Y97" s="25">
        <f t="shared" si="24"/>
        <v>0</v>
      </c>
      <c r="Z97" s="25">
        <f t="shared" si="24"/>
        <v>0</v>
      </c>
      <c r="AA97" s="25">
        <f t="shared" si="24"/>
        <v>0</v>
      </c>
      <c r="AB97" s="25">
        <f t="shared" si="24"/>
        <v>0</v>
      </c>
      <c r="AC97" s="25">
        <f t="shared" si="24"/>
        <v>0</v>
      </c>
      <c r="AD97" s="25">
        <f t="shared" si="24"/>
        <v>0</v>
      </c>
      <c r="AE97" s="24">
        <f t="shared" si="25"/>
        <v>0</v>
      </c>
      <c r="AF97" s="24">
        <f t="shared" si="25"/>
        <v>0</v>
      </c>
      <c r="AG97" s="24">
        <f t="shared" si="25"/>
        <v>0</v>
      </c>
      <c r="AH97" s="24">
        <f t="shared" si="25"/>
        <v>0</v>
      </c>
      <c r="AI97" s="24">
        <f t="shared" si="25"/>
        <v>0</v>
      </c>
      <c r="AJ97" s="24">
        <f t="shared" si="25"/>
        <v>0</v>
      </c>
      <c r="AK97" s="24">
        <f t="shared" si="25"/>
        <v>0</v>
      </c>
      <c r="AL97" s="24">
        <f t="shared" si="25"/>
        <v>0</v>
      </c>
      <c r="AM97" s="24">
        <f t="shared" si="25"/>
        <v>0</v>
      </c>
      <c r="AN97" s="24">
        <f t="shared" si="25"/>
        <v>0</v>
      </c>
      <c r="AO97" s="24">
        <f t="shared" si="25"/>
        <v>0</v>
      </c>
      <c r="AP97" s="24">
        <f t="shared" si="25"/>
        <v>0</v>
      </c>
      <c r="AQ97" s="21">
        <f>+Catálogo!H39</f>
        <v>0</v>
      </c>
      <c r="AR97" s="21">
        <f>+Catálogo!H57</f>
        <v>0</v>
      </c>
    </row>
    <row r="98" spans="1:44" s="26" customFormat="1" collapsed="1">
      <c r="A98" s="26" t="s">
        <v>571</v>
      </c>
      <c r="B98" s="29"/>
      <c r="G98" s="27">
        <f t="shared" ref="G98:AP98" si="27">SUM(G83:G92)</f>
        <v>0</v>
      </c>
      <c r="H98" s="27">
        <f t="shared" si="27"/>
        <v>0</v>
      </c>
      <c r="I98" s="27">
        <f t="shared" si="27"/>
        <v>0</v>
      </c>
      <c r="J98" s="27">
        <f t="shared" si="27"/>
        <v>0</v>
      </c>
      <c r="K98" s="27">
        <f t="shared" si="27"/>
        <v>0</v>
      </c>
      <c r="L98" s="27">
        <f t="shared" si="27"/>
        <v>0</v>
      </c>
      <c r="M98" s="27">
        <f t="shared" si="27"/>
        <v>0</v>
      </c>
      <c r="N98" s="27">
        <f t="shared" si="27"/>
        <v>0</v>
      </c>
      <c r="O98" s="27">
        <f t="shared" si="27"/>
        <v>0</v>
      </c>
      <c r="P98" s="27">
        <f t="shared" si="27"/>
        <v>0</v>
      </c>
      <c r="Q98" s="27">
        <f t="shared" si="27"/>
        <v>0</v>
      </c>
      <c r="R98" s="27">
        <f t="shared" si="27"/>
        <v>0</v>
      </c>
      <c r="S98" s="28">
        <f t="shared" si="27"/>
        <v>0</v>
      </c>
      <c r="T98" s="28">
        <f t="shared" si="27"/>
        <v>0</v>
      </c>
      <c r="U98" s="28">
        <f t="shared" si="27"/>
        <v>0</v>
      </c>
      <c r="V98" s="28">
        <f t="shared" si="27"/>
        <v>0</v>
      </c>
      <c r="W98" s="28">
        <f t="shared" si="27"/>
        <v>0</v>
      </c>
      <c r="X98" s="28">
        <f t="shared" si="27"/>
        <v>0</v>
      </c>
      <c r="Y98" s="28">
        <f t="shared" si="27"/>
        <v>0</v>
      </c>
      <c r="Z98" s="28">
        <f t="shared" si="27"/>
        <v>0</v>
      </c>
      <c r="AA98" s="28">
        <f t="shared" si="27"/>
        <v>0</v>
      </c>
      <c r="AB98" s="28">
        <f t="shared" si="27"/>
        <v>0</v>
      </c>
      <c r="AC98" s="28">
        <f t="shared" si="27"/>
        <v>0</v>
      </c>
      <c r="AD98" s="28">
        <f t="shared" si="27"/>
        <v>0</v>
      </c>
      <c r="AE98" s="27">
        <f t="shared" si="27"/>
        <v>0</v>
      </c>
      <c r="AF98" s="27">
        <f t="shared" si="27"/>
        <v>0</v>
      </c>
      <c r="AG98" s="27">
        <f t="shared" si="27"/>
        <v>0</v>
      </c>
      <c r="AH98" s="27">
        <f t="shared" si="27"/>
        <v>0</v>
      </c>
      <c r="AI98" s="27">
        <f t="shared" si="27"/>
        <v>0</v>
      </c>
      <c r="AJ98" s="27">
        <f t="shared" si="27"/>
        <v>0</v>
      </c>
      <c r="AK98" s="27">
        <f t="shared" si="27"/>
        <v>0</v>
      </c>
      <c r="AL98" s="27">
        <f t="shared" si="27"/>
        <v>0</v>
      </c>
      <c r="AM98" s="27">
        <f t="shared" si="27"/>
        <v>0</v>
      </c>
      <c r="AN98" s="27">
        <f t="shared" si="27"/>
        <v>0</v>
      </c>
      <c r="AO98" s="27">
        <f t="shared" si="27"/>
        <v>0</v>
      </c>
      <c r="AP98" s="27">
        <f t="shared" si="27"/>
        <v>0</v>
      </c>
      <c r="AR98" s="26" t="s">
        <v>46</v>
      </c>
    </row>
    <row r="99" spans="1:44" hidden="1" outlineLevel="1">
      <c r="A99" s="31">
        <f>+Catálogo!B6</f>
        <v>0</v>
      </c>
      <c r="B99" s="30">
        <f>IF(Cuestionario!$C$70="si",0,+Catálogo!D6)</f>
        <v>0</v>
      </c>
      <c r="G99" s="24">
        <f t="shared" ref="G99:AP106" si="28">$B99*G67</f>
        <v>0</v>
      </c>
      <c r="H99" s="24">
        <f t="shared" si="28"/>
        <v>0</v>
      </c>
      <c r="I99" s="24">
        <f t="shared" si="28"/>
        <v>0</v>
      </c>
      <c r="J99" s="24">
        <f t="shared" si="28"/>
        <v>0</v>
      </c>
      <c r="K99" s="24">
        <f t="shared" si="28"/>
        <v>0</v>
      </c>
      <c r="L99" s="24">
        <f t="shared" si="28"/>
        <v>0</v>
      </c>
      <c r="M99" s="24">
        <f t="shared" si="28"/>
        <v>0</v>
      </c>
      <c r="N99" s="24">
        <f t="shared" si="28"/>
        <v>0</v>
      </c>
      <c r="O99" s="24">
        <f t="shared" si="28"/>
        <v>0</v>
      </c>
      <c r="P99" s="24">
        <f>$B99*P67</f>
        <v>0</v>
      </c>
      <c r="Q99" s="24">
        <f t="shared" si="28"/>
        <v>0</v>
      </c>
      <c r="R99" s="24">
        <f t="shared" si="28"/>
        <v>0</v>
      </c>
      <c r="S99" s="25">
        <f t="shared" si="28"/>
        <v>0</v>
      </c>
      <c r="T99" s="25">
        <f t="shared" si="28"/>
        <v>0</v>
      </c>
      <c r="U99" s="25">
        <f t="shared" si="28"/>
        <v>0</v>
      </c>
      <c r="V99" s="25">
        <f t="shared" si="28"/>
        <v>0</v>
      </c>
      <c r="W99" s="25">
        <f t="shared" si="28"/>
        <v>0</v>
      </c>
      <c r="X99" s="25">
        <f t="shared" si="28"/>
        <v>0</v>
      </c>
      <c r="Y99" s="25">
        <f t="shared" si="28"/>
        <v>0</v>
      </c>
      <c r="Z99" s="25">
        <f t="shared" si="28"/>
        <v>0</v>
      </c>
      <c r="AA99" s="25">
        <f t="shared" si="28"/>
        <v>0</v>
      </c>
      <c r="AB99" s="25">
        <f t="shared" si="28"/>
        <v>0</v>
      </c>
      <c r="AC99" s="25">
        <f t="shared" si="28"/>
        <v>0</v>
      </c>
      <c r="AD99" s="25">
        <f t="shared" si="28"/>
        <v>0</v>
      </c>
      <c r="AE99" s="24">
        <f t="shared" si="28"/>
        <v>0</v>
      </c>
      <c r="AF99" s="24">
        <f t="shared" si="28"/>
        <v>0</v>
      </c>
      <c r="AG99" s="24">
        <f t="shared" si="28"/>
        <v>0</v>
      </c>
      <c r="AH99" s="24">
        <f t="shared" si="28"/>
        <v>0</v>
      </c>
      <c r="AI99" s="24">
        <f t="shared" si="28"/>
        <v>0</v>
      </c>
      <c r="AJ99" s="24">
        <f t="shared" si="28"/>
        <v>0</v>
      </c>
      <c r="AK99" s="24">
        <f t="shared" si="28"/>
        <v>0</v>
      </c>
      <c r="AL99" s="24">
        <f t="shared" si="28"/>
        <v>0</v>
      </c>
      <c r="AM99" s="24">
        <f t="shared" si="28"/>
        <v>0</v>
      </c>
      <c r="AN99" s="24">
        <f t="shared" si="28"/>
        <v>0</v>
      </c>
      <c r="AO99" s="24">
        <f t="shared" si="28"/>
        <v>0</v>
      </c>
      <c r="AP99" s="24">
        <f t="shared" si="28"/>
        <v>0</v>
      </c>
    </row>
    <row r="100" spans="1:44" hidden="1" outlineLevel="1">
      <c r="A100" s="31">
        <f>+Catálogo!B7</f>
        <v>0</v>
      </c>
      <c r="B100" s="30">
        <f>IF(Cuestionario!$C$70="si",0,+Catálogo!D7)</f>
        <v>0</v>
      </c>
      <c r="G100" s="24">
        <f t="shared" si="28"/>
        <v>0</v>
      </c>
      <c r="H100" s="24">
        <f t="shared" si="28"/>
        <v>0</v>
      </c>
      <c r="I100" s="24">
        <f t="shared" si="28"/>
        <v>0</v>
      </c>
      <c r="J100" s="24">
        <f t="shared" si="28"/>
        <v>0</v>
      </c>
      <c r="K100" s="24">
        <f t="shared" si="28"/>
        <v>0</v>
      </c>
      <c r="L100" s="24">
        <f t="shared" si="28"/>
        <v>0</v>
      </c>
      <c r="M100" s="24">
        <f t="shared" si="28"/>
        <v>0</v>
      </c>
      <c r="N100" s="24">
        <f t="shared" si="28"/>
        <v>0</v>
      </c>
      <c r="O100" s="24">
        <f t="shared" si="28"/>
        <v>0</v>
      </c>
      <c r="P100" s="24">
        <f t="shared" si="28"/>
        <v>0</v>
      </c>
      <c r="Q100" s="24">
        <f t="shared" si="28"/>
        <v>0</v>
      </c>
      <c r="R100" s="24">
        <f t="shared" si="28"/>
        <v>0</v>
      </c>
      <c r="S100" s="25">
        <f t="shared" si="28"/>
        <v>0</v>
      </c>
      <c r="T100" s="25">
        <f t="shared" si="28"/>
        <v>0</v>
      </c>
      <c r="U100" s="25">
        <f t="shared" si="28"/>
        <v>0</v>
      </c>
      <c r="V100" s="25">
        <f t="shared" si="28"/>
        <v>0</v>
      </c>
      <c r="W100" s="25">
        <f t="shared" si="28"/>
        <v>0</v>
      </c>
      <c r="X100" s="25">
        <f t="shared" si="28"/>
        <v>0</v>
      </c>
      <c r="Y100" s="25">
        <f t="shared" si="28"/>
        <v>0</v>
      </c>
      <c r="Z100" s="25">
        <f t="shared" si="28"/>
        <v>0</v>
      </c>
      <c r="AA100" s="25">
        <f t="shared" si="28"/>
        <v>0</v>
      </c>
      <c r="AB100" s="25">
        <f t="shared" si="28"/>
        <v>0</v>
      </c>
      <c r="AC100" s="25">
        <f t="shared" si="28"/>
        <v>0</v>
      </c>
      <c r="AD100" s="25">
        <f t="shared" si="28"/>
        <v>0</v>
      </c>
      <c r="AE100" s="24">
        <f t="shared" si="28"/>
        <v>0</v>
      </c>
      <c r="AF100" s="24">
        <f t="shared" si="28"/>
        <v>0</v>
      </c>
      <c r="AG100" s="24">
        <f t="shared" si="28"/>
        <v>0</v>
      </c>
      <c r="AH100" s="24">
        <f t="shared" si="28"/>
        <v>0</v>
      </c>
      <c r="AI100" s="24">
        <f t="shared" si="28"/>
        <v>0</v>
      </c>
      <c r="AJ100" s="24">
        <f t="shared" si="28"/>
        <v>0</v>
      </c>
      <c r="AK100" s="24">
        <f t="shared" si="28"/>
        <v>0</v>
      </c>
      <c r="AL100" s="24">
        <f t="shared" si="28"/>
        <v>0</v>
      </c>
      <c r="AM100" s="24">
        <f t="shared" si="28"/>
        <v>0</v>
      </c>
      <c r="AN100" s="24">
        <f t="shared" si="28"/>
        <v>0</v>
      </c>
      <c r="AO100" s="24">
        <f t="shared" si="28"/>
        <v>0</v>
      </c>
      <c r="AP100" s="24">
        <f t="shared" si="28"/>
        <v>0</v>
      </c>
    </row>
    <row r="101" spans="1:44" hidden="1" outlineLevel="1">
      <c r="A101" s="31">
        <f>+Catálogo!B8</f>
        <v>0</v>
      </c>
      <c r="B101" s="30">
        <f>IF(Cuestionario!$C$70="si",0,+Catálogo!D8)</f>
        <v>0</v>
      </c>
      <c r="G101" s="24">
        <f t="shared" si="28"/>
        <v>0</v>
      </c>
      <c r="H101" s="24">
        <f t="shared" si="28"/>
        <v>0</v>
      </c>
      <c r="I101" s="24">
        <f t="shared" si="28"/>
        <v>0</v>
      </c>
      <c r="J101" s="24">
        <f t="shared" si="28"/>
        <v>0</v>
      </c>
      <c r="K101" s="24">
        <f t="shared" si="28"/>
        <v>0</v>
      </c>
      <c r="L101" s="24">
        <f t="shared" si="28"/>
        <v>0</v>
      </c>
      <c r="M101" s="24">
        <f t="shared" si="28"/>
        <v>0</v>
      </c>
      <c r="N101" s="24">
        <f t="shared" si="28"/>
        <v>0</v>
      </c>
      <c r="O101" s="24">
        <f t="shared" si="28"/>
        <v>0</v>
      </c>
      <c r="P101" s="24">
        <f t="shared" si="28"/>
        <v>0</v>
      </c>
      <c r="Q101" s="24">
        <f t="shared" si="28"/>
        <v>0</v>
      </c>
      <c r="R101" s="24">
        <f t="shared" si="28"/>
        <v>0</v>
      </c>
      <c r="S101" s="25">
        <f t="shared" si="28"/>
        <v>0</v>
      </c>
      <c r="T101" s="25">
        <f t="shared" si="28"/>
        <v>0</v>
      </c>
      <c r="U101" s="25">
        <f t="shared" si="28"/>
        <v>0</v>
      </c>
      <c r="V101" s="25">
        <f t="shared" si="28"/>
        <v>0</v>
      </c>
      <c r="W101" s="25">
        <f t="shared" si="28"/>
        <v>0</v>
      </c>
      <c r="X101" s="25">
        <f t="shared" si="28"/>
        <v>0</v>
      </c>
      <c r="Y101" s="25">
        <f t="shared" si="28"/>
        <v>0</v>
      </c>
      <c r="Z101" s="25">
        <f t="shared" si="28"/>
        <v>0</v>
      </c>
      <c r="AA101" s="25">
        <f t="shared" si="28"/>
        <v>0</v>
      </c>
      <c r="AB101" s="25">
        <f t="shared" si="28"/>
        <v>0</v>
      </c>
      <c r="AC101" s="25">
        <f t="shared" si="28"/>
        <v>0</v>
      </c>
      <c r="AD101" s="25">
        <f t="shared" si="28"/>
        <v>0</v>
      </c>
      <c r="AE101" s="24">
        <f t="shared" si="28"/>
        <v>0</v>
      </c>
      <c r="AF101" s="24">
        <f t="shared" si="28"/>
        <v>0</v>
      </c>
      <c r="AG101" s="24">
        <f t="shared" si="28"/>
        <v>0</v>
      </c>
      <c r="AH101" s="24">
        <f t="shared" si="28"/>
        <v>0</v>
      </c>
      <c r="AI101" s="24">
        <f t="shared" si="28"/>
        <v>0</v>
      </c>
      <c r="AJ101" s="24">
        <f t="shared" si="28"/>
        <v>0</v>
      </c>
      <c r="AK101" s="24">
        <f t="shared" si="28"/>
        <v>0</v>
      </c>
      <c r="AL101" s="24">
        <f t="shared" si="28"/>
        <v>0</v>
      </c>
      <c r="AM101" s="24">
        <f t="shared" si="28"/>
        <v>0</v>
      </c>
      <c r="AN101" s="24">
        <f t="shared" si="28"/>
        <v>0</v>
      </c>
      <c r="AO101" s="24">
        <f t="shared" si="28"/>
        <v>0</v>
      </c>
      <c r="AP101" s="24">
        <f t="shared" si="28"/>
        <v>0</v>
      </c>
    </row>
    <row r="102" spans="1:44" hidden="1" outlineLevel="1">
      <c r="A102" s="31">
        <f>+Catálogo!B9</f>
        <v>0</v>
      </c>
      <c r="B102" s="30">
        <f>IF(Cuestionario!$C$70="si",0,+Catálogo!D9)</f>
        <v>0</v>
      </c>
      <c r="G102" s="24">
        <f t="shared" si="28"/>
        <v>0</v>
      </c>
      <c r="H102" s="24">
        <f t="shared" si="28"/>
        <v>0</v>
      </c>
      <c r="I102" s="24">
        <f t="shared" si="28"/>
        <v>0</v>
      </c>
      <c r="J102" s="24">
        <f t="shared" si="28"/>
        <v>0</v>
      </c>
      <c r="K102" s="24">
        <f t="shared" si="28"/>
        <v>0</v>
      </c>
      <c r="L102" s="24">
        <f t="shared" si="28"/>
        <v>0</v>
      </c>
      <c r="M102" s="24">
        <f t="shared" si="28"/>
        <v>0</v>
      </c>
      <c r="N102" s="24">
        <f t="shared" si="28"/>
        <v>0</v>
      </c>
      <c r="O102" s="24">
        <f t="shared" si="28"/>
        <v>0</v>
      </c>
      <c r="P102" s="24">
        <f t="shared" si="28"/>
        <v>0</v>
      </c>
      <c r="Q102" s="24">
        <f t="shared" si="28"/>
        <v>0</v>
      </c>
      <c r="R102" s="24">
        <f t="shared" si="28"/>
        <v>0</v>
      </c>
      <c r="S102" s="25">
        <f t="shared" si="28"/>
        <v>0</v>
      </c>
      <c r="T102" s="25">
        <f t="shared" si="28"/>
        <v>0</v>
      </c>
      <c r="U102" s="25">
        <f t="shared" si="28"/>
        <v>0</v>
      </c>
      <c r="V102" s="25">
        <f t="shared" si="28"/>
        <v>0</v>
      </c>
      <c r="W102" s="25">
        <f t="shared" si="28"/>
        <v>0</v>
      </c>
      <c r="X102" s="25">
        <f t="shared" si="28"/>
        <v>0</v>
      </c>
      <c r="Y102" s="25">
        <f t="shared" si="28"/>
        <v>0</v>
      </c>
      <c r="Z102" s="25">
        <f t="shared" si="28"/>
        <v>0</v>
      </c>
      <c r="AA102" s="25">
        <f t="shared" si="28"/>
        <v>0</v>
      </c>
      <c r="AB102" s="25">
        <f t="shared" si="28"/>
        <v>0</v>
      </c>
      <c r="AC102" s="25">
        <f t="shared" si="28"/>
        <v>0</v>
      </c>
      <c r="AD102" s="25">
        <f t="shared" si="28"/>
        <v>0</v>
      </c>
      <c r="AE102" s="24">
        <f t="shared" si="28"/>
        <v>0</v>
      </c>
      <c r="AF102" s="24">
        <f t="shared" si="28"/>
        <v>0</v>
      </c>
      <c r="AG102" s="24">
        <f t="shared" si="28"/>
        <v>0</v>
      </c>
      <c r="AH102" s="24">
        <f t="shared" si="28"/>
        <v>0</v>
      </c>
      <c r="AI102" s="24">
        <f t="shared" si="28"/>
        <v>0</v>
      </c>
      <c r="AJ102" s="24">
        <f t="shared" si="28"/>
        <v>0</v>
      </c>
      <c r="AK102" s="24">
        <f t="shared" si="28"/>
        <v>0</v>
      </c>
      <c r="AL102" s="24">
        <f t="shared" si="28"/>
        <v>0</v>
      </c>
      <c r="AM102" s="24">
        <f t="shared" si="28"/>
        <v>0</v>
      </c>
      <c r="AN102" s="24">
        <f t="shared" si="28"/>
        <v>0</v>
      </c>
      <c r="AO102" s="24">
        <f t="shared" si="28"/>
        <v>0</v>
      </c>
      <c r="AP102" s="24">
        <f t="shared" si="28"/>
        <v>0</v>
      </c>
    </row>
    <row r="103" spans="1:44" hidden="1" outlineLevel="1">
      <c r="A103" s="31">
        <f>+Catálogo!B10</f>
        <v>0</v>
      </c>
      <c r="B103" s="30">
        <f>IF(Cuestionario!$C$70="si",0,+Catálogo!D10)</f>
        <v>0</v>
      </c>
      <c r="G103" s="24">
        <f t="shared" si="28"/>
        <v>0</v>
      </c>
      <c r="H103" s="24">
        <f t="shared" si="28"/>
        <v>0</v>
      </c>
      <c r="I103" s="24">
        <f t="shared" si="28"/>
        <v>0</v>
      </c>
      <c r="J103" s="24">
        <f t="shared" si="28"/>
        <v>0</v>
      </c>
      <c r="K103" s="24">
        <f t="shared" si="28"/>
        <v>0</v>
      </c>
      <c r="L103" s="24">
        <f t="shared" si="28"/>
        <v>0</v>
      </c>
      <c r="M103" s="24">
        <f t="shared" si="28"/>
        <v>0</v>
      </c>
      <c r="N103" s="24">
        <f t="shared" si="28"/>
        <v>0</v>
      </c>
      <c r="O103" s="24">
        <f t="shared" si="28"/>
        <v>0</v>
      </c>
      <c r="P103" s="24">
        <f t="shared" si="28"/>
        <v>0</v>
      </c>
      <c r="Q103" s="24">
        <f t="shared" si="28"/>
        <v>0</v>
      </c>
      <c r="R103" s="24">
        <f t="shared" si="28"/>
        <v>0</v>
      </c>
      <c r="S103" s="25">
        <f t="shared" si="28"/>
        <v>0</v>
      </c>
      <c r="T103" s="25">
        <f t="shared" si="28"/>
        <v>0</v>
      </c>
      <c r="U103" s="25">
        <f t="shared" si="28"/>
        <v>0</v>
      </c>
      <c r="V103" s="25">
        <f t="shared" si="28"/>
        <v>0</v>
      </c>
      <c r="W103" s="25">
        <f t="shared" si="28"/>
        <v>0</v>
      </c>
      <c r="X103" s="25">
        <f t="shared" si="28"/>
        <v>0</v>
      </c>
      <c r="Y103" s="25">
        <f t="shared" si="28"/>
        <v>0</v>
      </c>
      <c r="Z103" s="25">
        <f t="shared" si="28"/>
        <v>0</v>
      </c>
      <c r="AA103" s="25">
        <f t="shared" si="28"/>
        <v>0</v>
      </c>
      <c r="AB103" s="25">
        <f t="shared" si="28"/>
        <v>0</v>
      </c>
      <c r="AC103" s="25">
        <f t="shared" si="28"/>
        <v>0</v>
      </c>
      <c r="AD103" s="25">
        <f t="shared" si="28"/>
        <v>0</v>
      </c>
      <c r="AE103" s="24">
        <f t="shared" si="28"/>
        <v>0</v>
      </c>
      <c r="AF103" s="24">
        <f t="shared" si="28"/>
        <v>0</v>
      </c>
      <c r="AG103" s="24">
        <f t="shared" si="28"/>
        <v>0</v>
      </c>
      <c r="AH103" s="24">
        <f t="shared" si="28"/>
        <v>0</v>
      </c>
      <c r="AI103" s="24">
        <f t="shared" si="28"/>
        <v>0</v>
      </c>
      <c r="AJ103" s="24">
        <f t="shared" si="28"/>
        <v>0</v>
      </c>
      <c r="AK103" s="24">
        <f t="shared" si="28"/>
        <v>0</v>
      </c>
      <c r="AL103" s="24">
        <f t="shared" si="28"/>
        <v>0</v>
      </c>
      <c r="AM103" s="24">
        <f t="shared" si="28"/>
        <v>0</v>
      </c>
      <c r="AN103" s="24">
        <f t="shared" si="28"/>
        <v>0</v>
      </c>
      <c r="AO103" s="24">
        <f t="shared" si="28"/>
        <v>0</v>
      </c>
      <c r="AP103" s="24">
        <f t="shared" si="28"/>
        <v>0</v>
      </c>
    </row>
    <row r="104" spans="1:44" hidden="1" outlineLevel="1">
      <c r="A104" s="31">
        <f>+Catálogo!B11</f>
        <v>0</v>
      </c>
      <c r="B104" s="30">
        <f>IF(Cuestionario!$C$70="si",0,+Catálogo!D11)</f>
        <v>0</v>
      </c>
      <c r="G104" s="24">
        <f t="shared" si="28"/>
        <v>0</v>
      </c>
      <c r="H104" s="24">
        <f t="shared" si="28"/>
        <v>0</v>
      </c>
      <c r="I104" s="24">
        <f t="shared" si="28"/>
        <v>0</v>
      </c>
      <c r="J104" s="24">
        <f t="shared" si="28"/>
        <v>0</v>
      </c>
      <c r="K104" s="24">
        <f t="shared" si="28"/>
        <v>0</v>
      </c>
      <c r="L104" s="24">
        <f t="shared" si="28"/>
        <v>0</v>
      </c>
      <c r="M104" s="24">
        <f t="shared" si="28"/>
        <v>0</v>
      </c>
      <c r="N104" s="24">
        <f t="shared" si="28"/>
        <v>0</v>
      </c>
      <c r="O104" s="24">
        <f t="shared" si="28"/>
        <v>0</v>
      </c>
      <c r="P104" s="24">
        <f t="shared" si="28"/>
        <v>0</v>
      </c>
      <c r="Q104" s="24">
        <f t="shared" si="28"/>
        <v>0</v>
      </c>
      <c r="R104" s="24">
        <f t="shared" si="28"/>
        <v>0</v>
      </c>
      <c r="S104" s="25">
        <f t="shared" si="28"/>
        <v>0</v>
      </c>
      <c r="T104" s="25">
        <f t="shared" si="28"/>
        <v>0</v>
      </c>
      <c r="U104" s="25">
        <f t="shared" si="28"/>
        <v>0</v>
      </c>
      <c r="V104" s="25">
        <f t="shared" si="28"/>
        <v>0</v>
      </c>
      <c r="W104" s="25">
        <f t="shared" si="28"/>
        <v>0</v>
      </c>
      <c r="X104" s="25">
        <f t="shared" si="28"/>
        <v>0</v>
      </c>
      <c r="Y104" s="25">
        <f t="shared" si="28"/>
        <v>0</v>
      </c>
      <c r="Z104" s="25">
        <f t="shared" si="28"/>
        <v>0</v>
      </c>
      <c r="AA104" s="25">
        <f t="shared" si="28"/>
        <v>0</v>
      </c>
      <c r="AB104" s="25">
        <f t="shared" si="28"/>
        <v>0</v>
      </c>
      <c r="AC104" s="25">
        <f t="shared" si="28"/>
        <v>0</v>
      </c>
      <c r="AD104" s="25">
        <f t="shared" si="28"/>
        <v>0</v>
      </c>
      <c r="AE104" s="24">
        <f t="shared" si="28"/>
        <v>0</v>
      </c>
      <c r="AF104" s="24">
        <f t="shared" si="28"/>
        <v>0</v>
      </c>
      <c r="AG104" s="24">
        <f t="shared" si="28"/>
        <v>0</v>
      </c>
      <c r="AH104" s="24">
        <f t="shared" si="28"/>
        <v>0</v>
      </c>
      <c r="AI104" s="24">
        <f t="shared" si="28"/>
        <v>0</v>
      </c>
      <c r="AJ104" s="24">
        <f t="shared" si="28"/>
        <v>0</v>
      </c>
      <c r="AK104" s="24">
        <f t="shared" si="28"/>
        <v>0</v>
      </c>
      <c r="AL104" s="24">
        <f t="shared" si="28"/>
        <v>0</v>
      </c>
      <c r="AM104" s="24">
        <f t="shared" si="28"/>
        <v>0</v>
      </c>
      <c r="AN104" s="24">
        <f t="shared" si="28"/>
        <v>0</v>
      </c>
      <c r="AO104" s="24">
        <f t="shared" si="28"/>
        <v>0</v>
      </c>
      <c r="AP104" s="24">
        <f t="shared" si="28"/>
        <v>0</v>
      </c>
    </row>
    <row r="105" spans="1:44" hidden="1" outlineLevel="1">
      <c r="A105" s="31">
        <f>+Catálogo!B12</f>
        <v>0</v>
      </c>
      <c r="B105" s="30">
        <f>IF(Cuestionario!$C$70="si",0,+Catálogo!D12)</f>
        <v>0</v>
      </c>
      <c r="G105" s="24">
        <f t="shared" si="28"/>
        <v>0</v>
      </c>
      <c r="H105" s="24">
        <f t="shared" si="28"/>
        <v>0</v>
      </c>
      <c r="I105" s="24">
        <f t="shared" si="28"/>
        <v>0</v>
      </c>
      <c r="J105" s="24">
        <f t="shared" si="28"/>
        <v>0</v>
      </c>
      <c r="K105" s="24">
        <f t="shared" si="28"/>
        <v>0</v>
      </c>
      <c r="L105" s="24">
        <f t="shared" si="28"/>
        <v>0</v>
      </c>
      <c r="M105" s="24">
        <f t="shared" si="28"/>
        <v>0</v>
      </c>
      <c r="N105" s="24">
        <f t="shared" si="28"/>
        <v>0</v>
      </c>
      <c r="O105" s="24">
        <f t="shared" si="28"/>
        <v>0</v>
      </c>
      <c r="P105" s="24">
        <f t="shared" si="28"/>
        <v>0</v>
      </c>
      <c r="Q105" s="24">
        <f t="shared" si="28"/>
        <v>0</v>
      </c>
      <c r="R105" s="24">
        <f t="shared" si="28"/>
        <v>0</v>
      </c>
      <c r="S105" s="25">
        <f t="shared" si="28"/>
        <v>0</v>
      </c>
      <c r="T105" s="25">
        <f t="shared" si="28"/>
        <v>0</v>
      </c>
      <c r="U105" s="25">
        <f t="shared" si="28"/>
        <v>0</v>
      </c>
      <c r="V105" s="25">
        <f t="shared" si="28"/>
        <v>0</v>
      </c>
      <c r="W105" s="25">
        <f t="shared" si="28"/>
        <v>0</v>
      </c>
      <c r="X105" s="25">
        <f t="shared" si="28"/>
        <v>0</v>
      </c>
      <c r="Y105" s="25">
        <f t="shared" si="28"/>
        <v>0</v>
      </c>
      <c r="Z105" s="25">
        <f t="shared" si="28"/>
        <v>0</v>
      </c>
      <c r="AA105" s="25">
        <f t="shared" si="28"/>
        <v>0</v>
      </c>
      <c r="AB105" s="25">
        <f t="shared" si="28"/>
        <v>0</v>
      </c>
      <c r="AC105" s="25">
        <f t="shared" si="28"/>
        <v>0</v>
      </c>
      <c r="AD105" s="25">
        <f t="shared" si="28"/>
        <v>0</v>
      </c>
      <c r="AE105" s="24">
        <f t="shared" si="28"/>
        <v>0</v>
      </c>
      <c r="AF105" s="24">
        <f t="shared" si="28"/>
        <v>0</v>
      </c>
      <c r="AG105" s="24">
        <f t="shared" si="28"/>
        <v>0</v>
      </c>
      <c r="AH105" s="24">
        <f t="shared" si="28"/>
        <v>0</v>
      </c>
      <c r="AI105" s="24">
        <f t="shared" si="28"/>
        <v>0</v>
      </c>
      <c r="AJ105" s="24">
        <f t="shared" si="28"/>
        <v>0</v>
      </c>
      <c r="AK105" s="24">
        <f t="shared" si="28"/>
        <v>0</v>
      </c>
      <c r="AL105" s="24">
        <f t="shared" si="28"/>
        <v>0</v>
      </c>
      <c r="AM105" s="24">
        <f t="shared" si="28"/>
        <v>0</v>
      </c>
      <c r="AN105" s="24">
        <f t="shared" si="28"/>
        <v>0</v>
      </c>
      <c r="AO105" s="24">
        <f t="shared" si="28"/>
        <v>0</v>
      </c>
      <c r="AP105" s="24">
        <f t="shared" si="28"/>
        <v>0</v>
      </c>
    </row>
    <row r="106" spans="1:44" hidden="1" outlineLevel="1">
      <c r="A106" s="31">
        <f>+Catálogo!B13</f>
        <v>0</v>
      </c>
      <c r="B106" s="30">
        <f>IF(Cuestionario!$C$70="si",0,+Catálogo!D13)</f>
        <v>0</v>
      </c>
      <c r="G106" s="24">
        <f t="shared" si="28"/>
        <v>0</v>
      </c>
      <c r="H106" s="24">
        <f t="shared" si="28"/>
        <v>0</v>
      </c>
      <c r="I106" s="24">
        <f t="shared" si="28"/>
        <v>0</v>
      </c>
      <c r="J106" s="24">
        <f t="shared" si="28"/>
        <v>0</v>
      </c>
      <c r="K106" s="24">
        <f t="shared" ref="K106:AP106" si="29">$B106*K74</f>
        <v>0</v>
      </c>
      <c r="L106" s="24">
        <f t="shared" si="29"/>
        <v>0</v>
      </c>
      <c r="M106" s="24">
        <f t="shared" si="29"/>
        <v>0</v>
      </c>
      <c r="N106" s="24">
        <f t="shared" si="29"/>
        <v>0</v>
      </c>
      <c r="O106" s="24">
        <f t="shared" si="29"/>
        <v>0</v>
      </c>
      <c r="P106" s="24">
        <f t="shared" si="29"/>
        <v>0</v>
      </c>
      <c r="Q106" s="24">
        <f t="shared" si="29"/>
        <v>0</v>
      </c>
      <c r="R106" s="24">
        <f t="shared" si="29"/>
        <v>0</v>
      </c>
      <c r="S106" s="25">
        <f t="shared" si="29"/>
        <v>0</v>
      </c>
      <c r="T106" s="25">
        <f t="shared" si="29"/>
        <v>0</v>
      </c>
      <c r="U106" s="25">
        <f t="shared" si="29"/>
        <v>0</v>
      </c>
      <c r="V106" s="25">
        <f t="shared" si="29"/>
        <v>0</v>
      </c>
      <c r="W106" s="25">
        <f t="shared" si="29"/>
        <v>0</v>
      </c>
      <c r="X106" s="25">
        <f t="shared" si="29"/>
        <v>0</v>
      </c>
      <c r="Y106" s="25">
        <f t="shared" si="29"/>
        <v>0</v>
      </c>
      <c r="Z106" s="25">
        <f t="shared" si="29"/>
        <v>0</v>
      </c>
      <c r="AA106" s="25">
        <f t="shared" si="29"/>
        <v>0</v>
      </c>
      <c r="AB106" s="25">
        <f t="shared" si="29"/>
        <v>0</v>
      </c>
      <c r="AC106" s="25">
        <f t="shared" si="29"/>
        <v>0</v>
      </c>
      <c r="AD106" s="25">
        <f t="shared" si="29"/>
        <v>0</v>
      </c>
      <c r="AE106" s="24">
        <f t="shared" si="29"/>
        <v>0</v>
      </c>
      <c r="AF106" s="24">
        <f t="shared" si="29"/>
        <v>0</v>
      </c>
      <c r="AG106" s="24">
        <f t="shared" si="29"/>
        <v>0</v>
      </c>
      <c r="AH106" s="24">
        <f t="shared" si="29"/>
        <v>0</v>
      </c>
      <c r="AI106" s="24">
        <f t="shared" si="29"/>
        <v>0</v>
      </c>
      <c r="AJ106" s="24">
        <f t="shared" si="29"/>
        <v>0</v>
      </c>
      <c r="AK106" s="24">
        <f t="shared" si="29"/>
        <v>0</v>
      </c>
      <c r="AL106" s="24">
        <f t="shared" si="29"/>
        <v>0</v>
      </c>
      <c r="AM106" s="24">
        <f t="shared" si="29"/>
        <v>0</v>
      </c>
      <c r="AN106" s="24">
        <f t="shared" si="29"/>
        <v>0</v>
      </c>
      <c r="AO106" s="24">
        <f t="shared" si="29"/>
        <v>0</v>
      </c>
      <c r="AP106" s="24">
        <f t="shared" si="29"/>
        <v>0</v>
      </c>
    </row>
    <row r="107" spans="1:44" hidden="1" outlineLevel="1">
      <c r="A107" s="31">
        <f>+Catálogo!B14</f>
        <v>0</v>
      </c>
      <c r="B107" s="30">
        <f>IF(Cuestionario!$C$70="si",0,+Catálogo!D14)</f>
        <v>0</v>
      </c>
      <c r="G107" s="24">
        <f t="shared" ref="G107:AP113" si="30">$B107*G75</f>
        <v>0</v>
      </c>
      <c r="H107" s="24">
        <f t="shared" si="30"/>
        <v>0</v>
      </c>
      <c r="I107" s="24">
        <f t="shared" si="30"/>
        <v>0</v>
      </c>
      <c r="J107" s="24">
        <f t="shared" si="30"/>
        <v>0</v>
      </c>
      <c r="K107" s="24">
        <f t="shared" si="30"/>
        <v>0</v>
      </c>
      <c r="L107" s="24">
        <f t="shared" si="30"/>
        <v>0</v>
      </c>
      <c r="M107" s="24">
        <f t="shared" si="30"/>
        <v>0</v>
      </c>
      <c r="N107" s="24">
        <f t="shared" si="30"/>
        <v>0</v>
      </c>
      <c r="O107" s="24">
        <f t="shared" si="30"/>
        <v>0</v>
      </c>
      <c r="P107" s="24">
        <f t="shared" si="30"/>
        <v>0</v>
      </c>
      <c r="Q107" s="24">
        <f t="shared" si="30"/>
        <v>0</v>
      </c>
      <c r="R107" s="24">
        <f t="shared" si="30"/>
        <v>0</v>
      </c>
      <c r="S107" s="25">
        <f t="shared" si="30"/>
        <v>0</v>
      </c>
      <c r="T107" s="25">
        <f t="shared" si="30"/>
        <v>0</v>
      </c>
      <c r="U107" s="25">
        <f t="shared" si="30"/>
        <v>0</v>
      </c>
      <c r="V107" s="25">
        <f t="shared" si="30"/>
        <v>0</v>
      </c>
      <c r="W107" s="25">
        <f t="shared" si="30"/>
        <v>0</v>
      </c>
      <c r="X107" s="25">
        <f t="shared" si="30"/>
        <v>0</v>
      </c>
      <c r="Y107" s="25">
        <f t="shared" si="30"/>
        <v>0</v>
      </c>
      <c r="Z107" s="25">
        <f t="shared" si="30"/>
        <v>0</v>
      </c>
      <c r="AA107" s="25">
        <f t="shared" si="30"/>
        <v>0</v>
      </c>
      <c r="AB107" s="25">
        <f t="shared" si="30"/>
        <v>0</v>
      </c>
      <c r="AC107" s="25">
        <f t="shared" si="30"/>
        <v>0</v>
      </c>
      <c r="AD107" s="25">
        <f t="shared" si="30"/>
        <v>0</v>
      </c>
      <c r="AE107" s="24">
        <f t="shared" si="30"/>
        <v>0</v>
      </c>
      <c r="AF107" s="24">
        <f t="shared" si="30"/>
        <v>0</v>
      </c>
      <c r="AG107" s="24">
        <f t="shared" si="30"/>
        <v>0</v>
      </c>
      <c r="AH107" s="24">
        <f t="shared" si="30"/>
        <v>0</v>
      </c>
      <c r="AI107" s="24">
        <f t="shared" si="30"/>
        <v>0</v>
      </c>
      <c r="AJ107" s="24">
        <f t="shared" si="30"/>
        <v>0</v>
      </c>
      <c r="AK107" s="24">
        <f t="shared" si="30"/>
        <v>0</v>
      </c>
      <c r="AL107" s="24">
        <f t="shared" si="30"/>
        <v>0</v>
      </c>
      <c r="AM107" s="24">
        <f t="shared" si="30"/>
        <v>0</v>
      </c>
      <c r="AN107" s="24">
        <f t="shared" si="30"/>
        <v>0</v>
      </c>
      <c r="AO107" s="24">
        <f t="shared" si="30"/>
        <v>0</v>
      </c>
      <c r="AP107" s="24">
        <f t="shared" si="30"/>
        <v>0</v>
      </c>
    </row>
    <row r="108" spans="1:44" hidden="1" outlineLevel="1">
      <c r="A108" s="31">
        <f>+Catálogo!B15</f>
        <v>0</v>
      </c>
      <c r="B108" s="30">
        <f>IF(Cuestionario!$C$70="si",0,+Catálogo!D15)</f>
        <v>0</v>
      </c>
      <c r="G108" s="24">
        <f t="shared" si="30"/>
        <v>0</v>
      </c>
      <c r="H108" s="24">
        <f t="shared" si="30"/>
        <v>0</v>
      </c>
      <c r="I108" s="24">
        <f t="shared" si="30"/>
        <v>0</v>
      </c>
      <c r="J108" s="24">
        <f t="shared" si="30"/>
        <v>0</v>
      </c>
      <c r="K108" s="24">
        <f t="shared" si="30"/>
        <v>0</v>
      </c>
      <c r="L108" s="24">
        <f t="shared" si="30"/>
        <v>0</v>
      </c>
      <c r="M108" s="24">
        <f t="shared" si="30"/>
        <v>0</v>
      </c>
      <c r="N108" s="24">
        <f t="shared" si="30"/>
        <v>0</v>
      </c>
      <c r="O108" s="24">
        <f t="shared" si="30"/>
        <v>0</v>
      </c>
      <c r="P108" s="24">
        <f t="shared" si="30"/>
        <v>0</v>
      </c>
      <c r="Q108" s="24">
        <f t="shared" si="30"/>
        <v>0</v>
      </c>
      <c r="R108" s="24">
        <f t="shared" si="30"/>
        <v>0</v>
      </c>
      <c r="S108" s="25">
        <f t="shared" si="30"/>
        <v>0</v>
      </c>
      <c r="T108" s="25">
        <f t="shared" si="30"/>
        <v>0</v>
      </c>
      <c r="U108" s="25">
        <f t="shared" si="30"/>
        <v>0</v>
      </c>
      <c r="V108" s="25">
        <f t="shared" si="30"/>
        <v>0</v>
      </c>
      <c r="W108" s="25">
        <f t="shared" si="30"/>
        <v>0</v>
      </c>
      <c r="X108" s="25">
        <f t="shared" si="30"/>
        <v>0</v>
      </c>
      <c r="Y108" s="25">
        <f t="shared" si="30"/>
        <v>0</v>
      </c>
      <c r="Z108" s="25">
        <f t="shared" si="30"/>
        <v>0</v>
      </c>
      <c r="AA108" s="25">
        <f t="shared" si="30"/>
        <v>0</v>
      </c>
      <c r="AB108" s="25">
        <f t="shared" si="30"/>
        <v>0</v>
      </c>
      <c r="AC108" s="25">
        <f t="shared" si="30"/>
        <v>0</v>
      </c>
      <c r="AD108" s="25">
        <f t="shared" si="30"/>
        <v>0</v>
      </c>
      <c r="AE108" s="24">
        <f t="shared" si="30"/>
        <v>0</v>
      </c>
      <c r="AF108" s="24">
        <f t="shared" si="30"/>
        <v>0</v>
      </c>
      <c r="AG108" s="24">
        <f t="shared" si="30"/>
        <v>0</v>
      </c>
      <c r="AH108" s="24">
        <f t="shared" si="30"/>
        <v>0</v>
      </c>
      <c r="AI108" s="24">
        <f t="shared" si="30"/>
        <v>0</v>
      </c>
      <c r="AJ108" s="24">
        <f t="shared" si="30"/>
        <v>0</v>
      </c>
      <c r="AK108" s="24">
        <f t="shared" si="30"/>
        <v>0</v>
      </c>
      <c r="AL108" s="24">
        <f t="shared" si="30"/>
        <v>0</v>
      </c>
      <c r="AM108" s="24">
        <f t="shared" si="30"/>
        <v>0</v>
      </c>
      <c r="AN108" s="24">
        <f t="shared" si="30"/>
        <v>0</v>
      </c>
      <c r="AO108" s="24">
        <f t="shared" si="30"/>
        <v>0</v>
      </c>
      <c r="AP108" s="24">
        <f t="shared" si="30"/>
        <v>0</v>
      </c>
    </row>
    <row r="109" spans="1:44" hidden="1" outlineLevel="1">
      <c r="A109" s="31">
        <f>+Catálogo!B16</f>
        <v>0</v>
      </c>
      <c r="B109" s="30">
        <f>IF(Cuestionario!$C$70="si",0,+Catálogo!D16)</f>
        <v>0</v>
      </c>
      <c r="G109" s="24">
        <f t="shared" si="30"/>
        <v>0</v>
      </c>
      <c r="H109" s="24">
        <f t="shared" si="30"/>
        <v>0</v>
      </c>
      <c r="I109" s="24">
        <f t="shared" si="30"/>
        <v>0</v>
      </c>
      <c r="J109" s="24">
        <f t="shared" si="30"/>
        <v>0</v>
      </c>
      <c r="K109" s="24">
        <f t="shared" si="30"/>
        <v>0</v>
      </c>
      <c r="L109" s="24">
        <f t="shared" si="30"/>
        <v>0</v>
      </c>
      <c r="M109" s="24">
        <f t="shared" si="30"/>
        <v>0</v>
      </c>
      <c r="N109" s="24">
        <f t="shared" si="30"/>
        <v>0</v>
      </c>
      <c r="O109" s="24">
        <f t="shared" si="30"/>
        <v>0</v>
      </c>
      <c r="P109" s="24">
        <f t="shared" si="30"/>
        <v>0</v>
      </c>
      <c r="Q109" s="24">
        <f t="shared" si="30"/>
        <v>0</v>
      </c>
      <c r="R109" s="24">
        <f t="shared" si="30"/>
        <v>0</v>
      </c>
      <c r="S109" s="25">
        <f t="shared" si="30"/>
        <v>0</v>
      </c>
      <c r="T109" s="25">
        <f t="shared" si="30"/>
        <v>0</v>
      </c>
      <c r="U109" s="25">
        <f t="shared" si="30"/>
        <v>0</v>
      </c>
      <c r="V109" s="25">
        <f t="shared" si="30"/>
        <v>0</v>
      </c>
      <c r="W109" s="25">
        <f t="shared" si="30"/>
        <v>0</v>
      </c>
      <c r="X109" s="25">
        <f t="shared" si="30"/>
        <v>0</v>
      </c>
      <c r="Y109" s="25">
        <f t="shared" si="30"/>
        <v>0</v>
      </c>
      <c r="Z109" s="25">
        <f t="shared" si="30"/>
        <v>0</v>
      </c>
      <c r="AA109" s="25">
        <f t="shared" si="30"/>
        <v>0</v>
      </c>
      <c r="AB109" s="25">
        <f t="shared" si="30"/>
        <v>0</v>
      </c>
      <c r="AC109" s="25">
        <f t="shared" si="30"/>
        <v>0</v>
      </c>
      <c r="AD109" s="25">
        <f t="shared" si="30"/>
        <v>0</v>
      </c>
      <c r="AE109" s="24">
        <f t="shared" si="30"/>
        <v>0</v>
      </c>
      <c r="AF109" s="24">
        <f t="shared" si="30"/>
        <v>0</v>
      </c>
      <c r="AG109" s="24">
        <f t="shared" si="30"/>
        <v>0</v>
      </c>
      <c r="AH109" s="24">
        <f t="shared" si="30"/>
        <v>0</v>
      </c>
      <c r="AI109" s="24">
        <f t="shared" si="30"/>
        <v>0</v>
      </c>
      <c r="AJ109" s="24">
        <f t="shared" si="30"/>
        <v>0</v>
      </c>
      <c r="AK109" s="24">
        <f t="shared" si="30"/>
        <v>0</v>
      </c>
      <c r="AL109" s="24">
        <f t="shared" si="30"/>
        <v>0</v>
      </c>
      <c r="AM109" s="24">
        <f t="shared" si="30"/>
        <v>0</v>
      </c>
      <c r="AN109" s="24">
        <f t="shared" si="30"/>
        <v>0</v>
      </c>
      <c r="AO109" s="24">
        <f t="shared" si="30"/>
        <v>0</v>
      </c>
      <c r="AP109" s="24">
        <f t="shared" si="30"/>
        <v>0</v>
      </c>
    </row>
    <row r="110" spans="1:44" hidden="1" outlineLevel="1">
      <c r="A110" s="31">
        <f>+Catálogo!B17</f>
        <v>0</v>
      </c>
      <c r="B110" s="30">
        <f>IF(Cuestionario!$C$70="si",0,+Catálogo!D17)</f>
        <v>0</v>
      </c>
      <c r="G110" s="24">
        <f t="shared" si="30"/>
        <v>0</v>
      </c>
      <c r="H110" s="24">
        <f t="shared" si="30"/>
        <v>0</v>
      </c>
      <c r="I110" s="24">
        <f t="shared" si="30"/>
        <v>0</v>
      </c>
      <c r="J110" s="24">
        <f t="shared" si="30"/>
        <v>0</v>
      </c>
      <c r="K110" s="24">
        <f t="shared" si="30"/>
        <v>0</v>
      </c>
      <c r="L110" s="24">
        <f t="shared" si="30"/>
        <v>0</v>
      </c>
      <c r="M110" s="24">
        <f t="shared" si="30"/>
        <v>0</v>
      </c>
      <c r="N110" s="24">
        <f t="shared" si="30"/>
        <v>0</v>
      </c>
      <c r="O110" s="24">
        <f t="shared" si="30"/>
        <v>0</v>
      </c>
      <c r="P110" s="24">
        <f t="shared" si="30"/>
        <v>0</v>
      </c>
      <c r="Q110" s="24">
        <f t="shared" si="30"/>
        <v>0</v>
      </c>
      <c r="R110" s="24">
        <f t="shared" si="30"/>
        <v>0</v>
      </c>
      <c r="S110" s="25">
        <f t="shared" si="30"/>
        <v>0</v>
      </c>
      <c r="T110" s="25">
        <f t="shared" si="30"/>
        <v>0</v>
      </c>
      <c r="U110" s="25">
        <f t="shared" si="30"/>
        <v>0</v>
      </c>
      <c r="V110" s="25">
        <f t="shared" si="30"/>
        <v>0</v>
      </c>
      <c r="W110" s="25">
        <f t="shared" si="30"/>
        <v>0</v>
      </c>
      <c r="X110" s="25">
        <f t="shared" si="30"/>
        <v>0</v>
      </c>
      <c r="Y110" s="25">
        <f t="shared" si="30"/>
        <v>0</v>
      </c>
      <c r="Z110" s="25">
        <f t="shared" si="30"/>
        <v>0</v>
      </c>
      <c r="AA110" s="25">
        <f t="shared" si="30"/>
        <v>0</v>
      </c>
      <c r="AB110" s="25">
        <f t="shared" si="30"/>
        <v>0</v>
      </c>
      <c r="AC110" s="25">
        <f t="shared" si="30"/>
        <v>0</v>
      </c>
      <c r="AD110" s="25">
        <f t="shared" si="30"/>
        <v>0</v>
      </c>
      <c r="AE110" s="24">
        <f t="shared" si="30"/>
        <v>0</v>
      </c>
      <c r="AF110" s="24">
        <f t="shared" si="30"/>
        <v>0</v>
      </c>
      <c r="AG110" s="24">
        <f t="shared" si="30"/>
        <v>0</v>
      </c>
      <c r="AH110" s="24">
        <f t="shared" si="30"/>
        <v>0</v>
      </c>
      <c r="AI110" s="24">
        <f t="shared" si="30"/>
        <v>0</v>
      </c>
      <c r="AJ110" s="24">
        <f t="shared" si="30"/>
        <v>0</v>
      </c>
      <c r="AK110" s="24">
        <f t="shared" si="30"/>
        <v>0</v>
      </c>
      <c r="AL110" s="24">
        <f t="shared" si="30"/>
        <v>0</v>
      </c>
      <c r="AM110" s="24">
        <f t="shared" si="30"/>
        <v>0</v>
      </c>
      <c r="AN110" s="24">
        <f t="shared" si="30"/>
        <v>0</v>
      </c>
      <c r="AO110" s="24">
        <f t="shared" si="30"/>
        <v>0</v>
      </c>
      <c r="AP110" s="24">
        <f t="shared" si="30"/>
        <v>0</v>
      </c>
    </row>
    <row r="111" spans="1:44" hidden="1" outlineLevel="1">
      <c r="A111" s="31">
        <f>+Catálogo!B18</f>
        <v>0</v>
      </c>
      <c r="B111" s="30">
        <f>IF(Cuestionario!$C$70="si",0,+Catálogo!D18)</f>
        <v>0</v>
      </c>
      <c r="G111" s="24">
        <f t="shared" si="30"/>
        <v>0</v>
      </c>
      <c r="H111" s="24">
        <f t="shared" si="30"/>
        <v>0</v>
      </c>
      <c r="I111" s="24">
        <f t="shared" si="30"/>
        <v>0</v>
      </c>
      <c r="J111" s="24">
        <f t="shared" si="30"/>
        <v>0</v>
      </c>
      <c r="K111" s="24">
        <f t="shared" si="30"/>
        <v>0</v>
      </c>
      <c r="L111" s="24">
        <f t="shared" si="30"/>
        <v>0</v>
      </c>
      <c r="M111" s="24">
        <f t="shared" si="30"/>
        <v>0</v>
      </c>
      <c r="N111" s="24">
        <f t="shared" si="30"/>
        <v>0</v>
      </c>
      <c r="O111" s="24">
        <f t="shared" si="30"/>
        <v>0</v>
      </c>
      <c r="P111" s="24">
        <f t="shared" si="30"/>
        <v>0</v>
      </c>
      <c r="Q111" s="24">
        <f t="shared" si="30"/>
        <v>0</v>
      </c>
      <c r="R111" s="24">
        <f t="shared" si="30"/>
        <v>0</v>
      </c>
      <c r="S111" s="25">
        <f t="shared" si="30"/>
        <v>0</v>
      </c>
      <c r="T111" s="25">
        <f t="shared" si="30"/>
        <v>0</v>
      </c>
      <c r="U111" s="25">
        <f t="shared" si="30"/>
        <v>0</v>
      </c>
      <c r="V111" s="25">
        <f t="shared" si="30"/>
        <v>0</v>
      </c>
      <c r="W111" s="25">
        <f t="shared" si="30"/>
        <v>0</v>
      </c>
      <c r="X111" s="25">
        <f t="shared" si="30"/>
        <v>0</v>
      </c>
      <c r="Y111" s="25">
        <f t="shared" si="30"/>
        <v>0</v>
      </c>
      <c r="Z111" s="25">
        <f t="shared" si="30"/>
        <v>0</v>
      </c>
      <c r="AA111" s="25">
        <f t="shared" si="30"/>
        <v>0</v>
      </c>
      <c r="AB111" s="25">
        <f t="shared" si="30"/>
        <v>0</v>
      </c>
      <c r="AC111" s="25">
        <f t="shared" si="30"/>
        <v>0</v>
      </c>
      <c r="AD111" s="25">
        <f t="shared" si="30"/>
        <v>0</v>
      </c>
      <c r="AE111" s="24">
        <f t="shared" si="30"/>
        <v>0</v>
      </c>
      <c r="AF111" s="24">
        <f t="shared" si="30"/>
        <v>0</v>
      </c>
      <c r="AG111" s="24">
        <f t="shared" si="30"/>
        <v>0</v>
      </c>
      <c r="AH111" s="24">
        <f t="shared" si="30"/>
        <v>0</v>
      </c>
      <c r="AI111" s="24">
        <f t="shared" si="30"/>
        <v>0</v>
      </c>
      <c r="AJ111" s="24">
        <f t="shared" si="30"/>
        <v>0</v>
      </c>
      <c r="AK111" s="24">
        <f t="shared" si="30"/>
        <v>0</v>
      </c>
      <c r="AL111" s="24">
        <f t="shared" si="30"/>
        <v>0</v>
      </c>
      <c r="AM111" s="24">
        <f t="shared" si="30"/>
        <v>0</v>
      </c>
      <c r="AN111" s="24">
        <f t="shared" si="30"/>
        <v>0</v>
      </c>
      <c r="AO111" s="24">
        <f t="shared" si="30"/>
        <v>0</v>
      </c>
      <c r="AP111" s="24">
        <f t="shared" si="30"/>
        <v>0</v>
      </c>
    </row>
    <row r="112" spans="1:44" hidden="1" outlineLevel="1">
      <c r="A112" s="31">
        <f>+Catálogo!B19</f>
        <v>0</v>
      </c>
      <c r="B112" s="30">
        <f>IF(Cuestionario!$C$70="si",0,+Catálogo!D19)</f>
        <v>0</v>
      </c>
      <c r="G112" s="24">
        <f t="shared" si="30"/>
        <v>0</v>
      </c>
      <c r="H112" s="24">
        <f t="shared" si="30"/>
        <v>0</v>
      </c>
      <c r="I112" s="24">
        <f t="shared" si="30"/>
        <v>0</v>
      </c>
      <c r="J112" s="24">
        <f t="shared" si="30"/>
        <v>0</v>
      </c>
      <c r="K112" s="24">
        <f t="shared" si="30"/>
        <v>0</v>
      </c>
      <c r="L112" s="24">
        <f t="shared" si="30"/>
        <v>0</v>
      </c>
      <c r="M112" s="24">
        <f t="shared" si="30"/>
        <v>0</v>
      </c>
      <c r="N112" s="24">
        <f t="shared" si="30"/>
        <v>0</v>
      </c>
      <c r="O112" s="24">
        <f t="shared" si="30"/>
        <v>0</v>
      </c>
      <c r="P112" s="24">
        <f t="shared" si="30"/>
        <v>0</v>
      </c>
      <c r="Q112" s="24">
        <f t="shared" si="30"/>
        <v>0</v>
      </c>
      <c r="R112" s="24">
        <f t="shared" si="30"/>
        <v>0</v>
      </c>
      <c r="S112" s="25">
        <f t="shared" si="30"/>
        <v>0</v>
      </c>
      <c r="T112" s="25">
        <f t="shared" si="30"/>
        <v>0</v>
      </c>
      <c r="U112" s="25">
        <f t="shared" si="30"/>
        <v>0</v>
      </c>
      <c r="V112" s="25">
        <f t="shared" si="30"/>
        <v>0</v>
      </c>
      <c r="W112" s="25">
        <f t="shared" si="30"/>
        <v>0</v>
      </c>
      <c r="X112" s="25">
        <f t="shared" si="30"/>
        <v>0</v>
      </c>
      <c r="Y112" s="25">
        <f t="shared" si="30"/>
        <v>0</v>
      </c>
      <c r="Z112" s="25">
        <f t="shared" si="30"/>
        <v>0</v>
      </c>
      <c r="AA112" s="25">
        <f t="shared" si="30"/>
        <v>0</v>
      </c>
      <c r="AB112" s="25">
        <f t="shared" si="30"/>
        <v>0</v>
      </c>
      <c r="AC112" s="25">
        <f t="shared" si="30"/>
        <v>0</v>
      </c>
      <c r="AD112" s="25">
        <f t="shared" si="30"/>
        <v>0</v>
      </c>
      <c r="AE112" s="24">
        <f t="shared" si="30"/>
        <v>0</v>
      </c>
      <c r="AF112" s="24">
        <f t="shared" si="30"/>
        <v>0</v>
      </c>
      <c r="AG112" s="24">
        <f t="shared" si="30"/>
        <v>0</v>
      </c>
      <c r="AH112" s="24">
        <f t="shared" si="30"/>
        <v>0</v>
      </c>
      <c r="AI112" s="24">
        <f t="shared" si="30"/>
        <v>0</v>
      </c>
      <c r="AJ112" s="24">
        <f t="shared" si="30"/>
        <v>0</v>
      </c>
      <c r="AK112" s="24">
        <f t="shared" si="30"/>
        <v>0</v>
      </c>
      <c r="AL112" s="24">
        <f t="shared" si="30"/>
        <v>0</v>
      </c>
      <c r="AM112" s="24">
        <f t="shared" si="30"/>
        <v>0</v>
      </c>
      <c r="AN112" s="24">
        <f t="shared" si="30"/>
        <v>0</v>
      </c>
      <c r="AO112" s="24">
        <f t="shared" si="30"/>
        <v>0</v>
      </c>
      <c r="AP112" s="24">
        <f t="shared" si="30"/>
        <v>0</v>
      </c>
    </row>
    <row r="113" spans="1:42" hidden="1" outlineLevel="1">
      <c r="A113" s="31">
        <f>+Catálogo!B20</f>
        <v>0</v>
      </c>
      <c r="B113" s="30">
        <f>IF(Cuestionario!$C$70="si",0,+Catálogo!D20)</f>
        <v>0</v>
      </c>
      <c r="G113" s="24">
        <f t="shared" si="30"/>
        <v>0</v>
      </c>
      <c r="H113" s="24">
        <f t="shared" si="30"/>
        <v>0</v>
      </c>
      <c r="I113" s="24">
        <f t="shared" si="30"/>
        <v>0</v>
      </c>
      <c r="J113" s="24">
        <f t="shared" si="30"/>
        <v>0</v>
      </c>
      <c r="K113" s="24">
        <f t="shared" si="30"/>
        <v>0</v>
      </c>
      <c r="L113" s="24">
        <f t="shared" si="30"/>
        <v>0</v>
      </c>
      <c r="M113" s="24">
        <f t="shared" si="30"/>
        <v>0</v>
      </c>
      <c r="N113" s="24">
        <f t="shared" si="30"/>
        <v>0</v>
      </c>
      <c r="O113" s="24">
        <f t="shared" si="30"/>
        <v>0</v>
      </c>
      <c r="P113" s="24">
        <f t="shared" si="30"/>
        <v>0</v>
      </c>
      <c r="Q113" s="24">
        <f t="shared" si="30"/>
        <v>0</v>
      </c>
      <c r="R113" s="24">
        <f t="shared" si="30"/>
        <v>0</v>
      </c>
      <c r="S113" s="25">
        <f t="shared" si="30"/>
        <v>0</v>
      </c>
      <c r="T113" s="25">
        <f t="shared" si="30"/>
        <v>0</v>
      </c>
      <c r="U113" s="25">
        <f t="shared" si="30"/>
        <v>0</v>
      </c>
      <c r="V113" s="25">
        <f t="shared" si="30"/>
        <v>0</v>
      </c>
      <c r="W113" s="25">
        <f t="shared" si="30"/>
        <v>0</v>
      </c>
      <c r="X113" s="25">
        <f t="shared" si="30"/>
        <v>0</v>
      </c>
      <c r="Y113" s="25">
        <f t="shared" si="30"/>
        <v>0</v>
      </c>
      <c r="Z113" s="25">
        <f t="shared" si="30"/>
        <v>0</v>
      </c>
      <c r="AA113" s="25">
        <f t="shared" si="30"/>
        <v>0</v>
      </c>
      <c r="AB113" s="25">
        <f t="shared" si="30"/>
        <v>0</v>
      </c>
      <c r="AC113" s="25">
        <f t="shared" si="30"/>
        <v>0</v>
      </c>
      <c r="AD113" s="25">
        <f t="shared" si="30"/>
        <v>0</v>
      </c>
      <c r="AE113" s="24">
        <f t="shared" si="30"/>
        <v>0</v>
      </c>
      <c r="AF113" s="24">
        <f t="shared" si="30"/>
        <v>0</v>
      </c>
      <c r="AG113" s="24">
        <f t="shared" si="30"/>
        <v>0</v>
      </c>
      <c r="AH113" s="24">
        <f t="shared" si="30"/>
        <v>0</v>
      </c>
      <c r="AI113" s="24">
        <f t="shared" si="30"/>
        <v>0</v>
      </c>
      <c r="AJ113" s="24">
        <f t="shared" si="30"/>
        <v>0</v>
      </c>
      <c r="AK113" s="24">
        <f t="shared" si="30"/>
        <v>0</v>
      </c>
      <c r="AL113" s="24">
        <f t="shared" si="30"/>
        <v>0</v>
      </c>
      <c r="AM113" s="24">
        <f t="shared" si="30"/>
        <v>0</v>
      </c>
      <c r="AN113" s="24">
        <f t="shared" si="30"/>
        <v>0</v>
      </c>
      <c r="AO113" s="24">
        <f t="shared" si="30"/>
        <v>0</v>
      </c>
      <c r="AP113" s="24">
        <f t="shared" si="30"/>
        <v>0</v>
      </c>
    </row>
    <row r="114" spans="1:42" collapsed="1">
      <c r="A114" s="26" t="s">
        <v>88</v>
      </c>
      <c r="B114" s="29"/>
      <c r="C114" s="26"/>
      <c r="D114" s="26"/>
      <c r="E114" s="26"/>
      <c r="F114" s="26"/>
      <c r="G114" s="27">
        <f t="shared" ref="G114:AP114" si="31">SUM(G99:G108)</f>
        <v>0</v>
      </c>
      <c r="H114" s="27">
        <f t="shared" si="31"/>
        <v>0</v>
      </c>
      <c r="I114" s="27">
        <f t="shared" si="31"/>
        <v>0</v>
      </c>
      <c r="J114" s="27">
        <f t="shared" si="31"/>
        <v>0</v>
      </c>
      <c r="K114" s="27">
        <f t="shared" si="31"/>
        <v>0</v>
      </c>
      <c r="L114" s="27">
        <f t="shared" si="31"/>
        <v>0</v>
      </c>
      <c r="M114" s="27">
        <f t="shared" si="31"/>
        <v>0</v>
      </c>
      <c r="N114" s="27">
        <f t="shared" si="31"/>
        <v>0</v>
      </c>
      <c r="O114" s="27">
        <f t="shared" si="31"/>
        <v>0</v>
      </c>
      <c r="P114" s="27">
        <f t="shared" si="31"/>
        <v>0</v>
      </c>
      <c r="Q114" s="27">
        <f t="shared" si="31"/>
        <v>0</v>
      </c>
      <c r="R114" s="27">
        <f t="shared" si="31"/>
        <v>0</v>
      </c>
      <c r="S114" s="28">
        <f t="shared" si="31"/>
        <v>0</v>
      </c>
      <c r="T114" s="28">
        <f t="shared" si="31"/>
        <v>0</v>
      </c>
      <c r="U114" s="28">
        <f t="shared" si="31"/>
        <v>0</v>
      </c>
      <c r="V114" s="28">
        <f t="shared" si="31"/>
        <v>0</v>
      </c>
      <c r="W114" s="28">
        <f t="shared" si="31"/>
        <v>0</v>
      </c>
      <c r="X114" s="28">
        <f t="shared" si="31"/>
        <v>0</v>
      </c>
      <c r="Y114" s="28">
        <f t="shared" si="31"/>
        <v>0</v>
      </c>
      <c r="Z114" s="28">
        <f t="shared" si="31"/>
        <v>0</v>
      </c>
      <c r="AA114" s="28">
        <f t="shared" si="31"/>
        <v>0</v>
      </c>
      <c r="AB114" s="28">
        <f t="shared" si="31"/>
        <v>0</v>
      </c>
      <c r="AC114" s="28">
        <f t="shared" si="31"/>
        <v>0</v>
      </c>
      <c r="AD114" s="28">
        <f t="shared" si="31"/>
        <v>0</v>
      </c>
      <c r="AE114" s="27">
        <f t="shared" si="31"/>
        <v>0</v>
      </c>
      <c r="AF114" s="27">
        <f t="shared" si="31"/>
        <v>0</v>
      </c>
      <c r="AG114" s="27">
        <f t="shared" si="31"/>
        <v>0</v>
      </c>
      <c r="AH114" s="27">
        <f t="shared" si="31"/>
        <v>0</v>
      </c>
      <c r="AI114" s="27">
        <f t="shared" si="31"/>
        <v>0</v>
      </c>
      <c r="AJ114" s="27">
        <f t="shared" si="31"/>
        <v>0</v>
      </c>
      <c r="AK114" s="27">
        <f t="shared" si="31"/>
        <v>0</v>
      </c>
      <c r="AL114" s="27">
        <f t="shared" si="31"/>
        <v>0</v>
      </c>
      <c r="AM114" s="27">
        <f t="shared" si="31"/>
        <v>0</v>
      </c>
      <c r="AN114" s="27">
        <f t="shared" si="31"/>
        <v>0</v>
      </c>
      <c r="AO114" s="27">
        <f t="shared" si="31"/>
        <v>0</v>
      </c>
      <c r="AP114" s="27">
        <f t="shared" si="31"/>
        <v>0</v>
      </c>
    </row>
    <row r="115" spans="1:42" hidden="1" outlineLevel="1">
      <c r="A115" s="31">
        <f>+A2</f>
        <v>0</v>
      </c>
      <c r="B115" s="30">
        <f>IF(Cuestionario!$C$70="si",0,+Catálogo!G6)</f>
        <v>0</v>
      </c>
      <c r="G115" s="24">
        <f t="shared" ref="G115:AP122" si="32">+G83*$B115</f>
        <v>0</v>
      </c>
      <c r="H115" s="24">
        <f t="shared" si="32"/>
        <v>0</v>
      </c>
      <c r="I115" s="24">
        <f t="shared" si="32"/>
        <v>0</v>
      </c>
      <c r="J115" s="24">
        <f t="shared" si="32"/>
        <v>0</v>
      </c>
      <c r="K115" s="24">
        <f t="shared" si="32"/>
        <v>0</v>
      </c>
      <c r="L115" s="24">
        <f t="shared" si="32"/>
        <v>0</v>
      </c>
      <c r="M115" s="24">
        <f t="shared" si="32"/>
        <v>0</v>
      </c>
      <c r="N115" s="24">
        <f t="shared" si="32"/>
        <v>0</v>
      </c>
      <c r="O115" s="24">
        <f t="shared" si="32"/>
        <v>0</v>
      </c>
      <c r="P115" s="24">
        <f t="shared" si="32"/>
        <v>0</v>
      </c>
      <c r="Q115" s="24">
        <f t="shared" si="32"/>
        <v>0</v>
      </c>
      <c r="R115" s="24">
        <f t="shared" si="32"/>
        <v>0</v>
      </c>
      <c r="S115" s="25">
        <f>+S83*$B115</f>
        <v>0</v>
      </c>
      <c r="T115" s="25">
        <f t="shared" si="32"/>
        <v>0</v>
      </c>
      <c r="U115" s="25">
        <f t="shared" si="32"/>
        <v>0</v>
      </c>
      <c r="V115" s="25">
        <f t="shared" si="32"/>
        <v>0</v>
      </c>
      <c r="W115" s="25">
        <f t="shared" si="32"/>
        <v>0</v>
      </c>
      <c r="X115" s="25">
        <f t="shared" si="32"/>
        <v>0</v>
      </c>
      <c r="Y115" s="25">
        <f t="shared" si="32"/>
        <v>0</v>
      </c>
      <c r="Z115" s="25">
        <f t="shared" si="32"/>
        <v>0</v>
      </c>
      <c r="AA115" s="25">
        <f t="shared" si="32"/>
        <v>0</v>
      </c>
      <c r="AB115" s="25">
        <f t="shared" si="32"/>
        <v>0</v>
      </c>
      <c r="AC115" s="25">
        <f t="shared" si="32"/>
        <v>0</v>
      </c>
      <c r="AD115" s="25">
        <f t="shared" si="32"/>
        <v>0</v>
      </c>
      <c r="AE115" s="24">
        <f t="shared" si="32"/>
        <v>0</v>
      </c>
      <c r="AF115" s="24">
        <f t="shared" si="32"/>
        <v>0</v>
      </c>
      <c r="AG115" s="24">
        <f t="shared" si="32"/>
        <v>0</v>
      </c>
      <c r="AH115" s="24">
        <f t="shared" si="32"/>
        <v>0</v>
      </c>
      <c r="AI115" s="24">
        <f t="shared" si="32"/>
        <v>0</v>
      </c>
      <c r="AJ115" s="24">
        <f t="shared" si="32"/>
        <v>0</v>
      </c>
      <c r="AK115" s="24">
        <f t="shared" si="32"/>
        <v>0</v>
      </c>
      <c r="AL115" s="24">
        <f t="shared" si="32"/>
        <v>0</v>
      </c>
      <c r="AM115" s="24">
        <f t="shared" si="32"/>
        <v>0</v>
      </c>
      <c r="AN115" s="24">
        <f t="shared" si="32"/>
        <v>0</v>
      </c>
      <c r="AO115" s="24">
        <f t="shared" si="32"/>
        <v>0</v>
      </c>
      <c r="AP115" s="24">
        <f t="shared" si="32"/>
        <v>0</v>
      </c>
    </row>
    <row r="116" spans="1:42" hidden="1" outlineLevel="1">
      <c r="A116" s="31">
        <f t="shared" ref="A116:A129" si="33">+A3</f>
        <v>0</v>
      </c>
      <c r="B116" s="30">
        <f>IF(Cuestionario!$C$70="si",0,+Catálogo!G7)</f>
        <v>0</v>
      </c>
      <c r="G116" s="24">
        <f t="shared" si="32"/>
        <v>0</v>
      </c>
      <c r="H116" s="24">
        <f t="shared" si="32"/>
        <v>0</v>
      </c>
      <c r="I116" s="24">
        <f t="shared" si="32"/>
        <v>0</v>
      </c>
      <c r="J116" s="24">
        <f t="shared" si="32"/>
        <v>0</v>
      </c>
      <c r="K116" s="24">
        <f t="shared" si="32"/>
        <v>0</v>
      </c>
      <c r="L116" s="24">
        <f t="shared" si="32"/>
        <v>0</v>
      </c>
      <c r="M116" s="24">
        <f t="shared" si="32"/>
        <v>0</v>
      </c>
      <c r="N116" s="24">
        <f t="shared" si="32"/>
        <v>0</v>
      </c>
      <c r="O116" s="24">
        <f t="shared" si="32"/>
        <v>0</v>
      </c>
      <c r="P116" s="24">
        <f t="shared" si="32"/>
        <v>0</v>
      </c>
      <c r="Q116" s="24">
        <f t="shared" si="32"/>
        <v>0</v>
      </c>
      <c r="R116" s="24">
        <f t="shared" si="32"/>
        <v>0</v>
      </c>
      <c r="S116" s="25">
        <f t="shared" si="32"/>
        <v>0</v>
      </c>
      <c r="T116" s="25">
        <f t="shared" si="32"/>
        <v>0</v>
      </c>
      <c r="U116" s="25">
        <f t="shared" si="32"/>
        <v>0</v>
      </c>
      <c r="V116" s="25">
        <f t="shared" si="32"/>
        <v>0</v>
      </c>
      <c r="W116" s="25">
        <f t="shared" si="32"/>
        <v>0</v>
      </c>
      <c r="X116" s="25">
        <f t="shared" si="32"/>
        <v>0</v>
      </c>
      <c r="Y116" s="25">
        <f t="shared" si="32"/>
        <v>0</v>
      </c>
      <c r="Z116" s="25">
        <f t="shared" si="32"/>
        <v>0</v>
      </c>
      <c r="AA116" s="25">
        <f t="shared" si="32"/>
        <v>0</v>
      </c>
      <c r="AB116" s="25">
        <f t="shared" si="32"/>
        <v>0</v>
      </c>
      <c r="AC116" s="25">
        <f t="shared" si="32"/>
        <v>0</v>
      </c>
      <c r="AD116" s="25">
        <f t="shared" si="32"/>
        <v>0</v>
      </c>
      <c r="AE116" s="24">
        <f t="shared" si="32"/>
        <v>0</v>
      </c>
      <c r="AF116" s="24">
        <f t="shared" si="32"/>
        <v>0</v>
      </c>
      <c r="AG116" s="24">
        <f t="shared" si="32"/>
        <v>0</v>
      </c>
      <c r="AH116" s="24">
        <f t="shared" si="32"/>
        <v>0</v>
      </c>
      <c r="AI116" s="24">
        <f t="shared" si="32"/>
        <v>0</v>
      </c>
      <c r="AJ116" s="24">
        <f t="shared" si="32"/>
        <v>0</v>
      </c>
      <c r="AK116" s="24">
        <f t="shared" si="32"/>
        <v>0</v>
      </c>
      <c r="AL116" s="24">
        <f t="shared" si="32"/>
        <v>0</v>
      </c>
      <c r="AM116" s="24">
        <f t="shared" si="32"/>
        <v>0</v>
      </c>
      <c r="AN116" s="24">
        <f t="shared" si="32"/>
        <v>0</v>
      </c>
      <c r="AO116" s="24">
        <f t="shared" si="32"/>
        <v>0</v>
      </c>
      <c r="AP116" s="24">
        <f t="shared" si="32"/>
        <v>0</v>
      </c>
    </row>
    <row r="117" spans="1:42" hidden="1" outlineLevel="1">
      <c r="A117" s="31">
        <f t="shared" si="33"/>
        <v>0</v>
      </c>
      <c r="B117" s="30">
        <f>IF(Cuestionario!$C$70="si",0,+Catálogo!G8)</f>
        <v>0</v>
      </c>
      <c r="G117" s="24">
        <f t="shared" si="32"/>
        <v>0</v>
      </c>
      <c r="H117" s="24">
        <f t="shared" si="32"/>
        <v>0</v>
      </c>
      <c r="I117" s="24">
        <f t="shared" si="32"/>
        <v>0</v>
      </c>
      <c r="J117" s="24">
        <f t="shared" si="32"/>
        <v>0</v>
      </c>
      <c r="K117" s="24">
        <f t="shared" si="32"/>
        <v>0</v>
      </c>
      <c r="L117" s="24">
        <f t="shared" si="32"/>
        <v>0</v>
      </c>
      <c r="M117" s="24">
        <f t="shared" si="32"/>
        <v>0</v>
      </c>
      <c r="N117" s="24">
        <f t="shared" si="32"/>
        <v>0</v>
      </c>
      <c r="O117" s="24">
        <f t="shared" si="32"/>
        <v>0</v>
      </c>
      <c r="P117" s="24">
        <f t="shared" si="32"/>
        <v>0</v>
      </c>
      <c r="Q117" s="24">
        <f t="shared" si="32"/>
        <v>0</v>
      </c>
      <c r="R117" s="24">
        <f t="shared" si="32"/>
        <v>0</v>
      </c>
      <c r="S117" s="25">
        <f t="shared" si="32"/>
        <v>0</v>
      </c>
      <c r="T117" s="25">
        <f t="shared" si="32"/>
        <v>0</v>
      </c>
      <c r="U117" s="25">
        <f t="shared" si="32"/>
        <v>0</v>
      </c>
      <c r="V117" s="25">
        <f t="shared" si="32"/>
        <v>0</v>
      </c>
      <c r="W117" s="25">
        <f t="shared" si="32"/>
        <v>0</v>
      </c>
      <c r="X117" s="25">
        <f t="shared" si="32"/>
        <v>0</v>
      </c>
      <c r="Y117" s="25">
        <f t="shared" si="32"/>
        <v>0</v>
      </c>
      <c r="Z117" s="25">
        <f t="shared" si="32"/>
        <v>0</v>
      </c>
      <c r="AA117" s="25">
        <f t="shared" si="32"/>
        <v>0</v>
      </c>
      <c r="AB117" s="25">
        <f t="shared" si="32"/>
        <v>0</v>
      </c>
      <c r="AC117" s="25">
        <f t="shared" si="32"/>
        <v>0</v>
      </c>
      <c r="AD117" s="25">
        <f t="shared" si="32"/>
        <v>0</v>
      </c>
      <c r="AE117" s="24">
        <f t="shared" si="32"/>
        <v>0</v>
      </c>
      <c r="AF117" s="24">
        <f t="shared" si="32"/>
        <v>0</v>
      </c>
      <c r="AG117" s="24">
        <f t="shared" si="32"/>
        <v>0</v>
      </c>
      <c r="AH117" s="24">
        <f t="shared" si="32"/>
        <v>0</v>
      </c>
      <c r="AI117" s="24">
        <f t="shared" si="32"/>
        <v>0</v>
      </c>
      <c r="AJ117" s="24">
        <f t="shared" si="32"/>
        <v>0</v>
      </c>
      <c r="AK117" s="24">
        <f t="shared" si="32"/>
        <v>0</v>
      </c>
      <c r="AL117" s="24">
        <f t="shared" si="32"/>
        <v>0</v>
      </c>
      <c r="AM117" s="24">
        <f t="shared" si="32"/>
        <v>0</v>
      </c>
      <c r="AN117" s="24">
        <f t="shared" si="32"/>
        <v>0</v>
      </c>
      <c r="AO117" s="24">
        <f t="shared" si="32"/>
        <v>0</v>
      </c>
      <c r="AP117" s="24">
        <f t="shared" si="32"/>
        <v>0</v>
      </c>
    </row>
    <row r="118" spans="1:42" hidden="1" outlineLevel="1">
      <c r="A118" s="31">
        <f t="shared" si="33"/>
        <v>0</v>
      </c>
      <c r="B118" s="30">
        <f>IF(Cuestionario!$C$70="si",0,+Catálogo!G9)</f>
        <v>0</v>
      </c>
      <c r="G118" s="24">
        <f t="shared" si="32"/>
        <v>0</v>
      </c>
      <c r="H118" s="24">
        <f t="shared" si="32"/>
        <v>0</v>
      </c>
      <c r="I118" s="24">
        <f t="shared" si="32"/>
        <v>0</v>
      </c>
      <c r="J118" s="24">
        <f t="shared" si="32"/>
        <v>0</v>
      </c>
      <c r="K118" s="24">
        <f t="shared" si="32"/>
        <v>0</v>
      </c>
      <c r="L118" s="24">
        <f t="shared" si="32"/>
        <v>0</v>
      </c>
      <c r="M118" s="24">
        <f t="shared" si="32"/>
        <v>0</v>
      </c>
      <c r="N118" s="24">
        <f t="shared" si="32"/>
        <v>0</v>
      </c>
      <c r="O118" s="24">
        <f t="shared" si="32"/>
        <v>0</v>
      </c>
      <c r="P118" s="24">
        <f t="shared" si="32"/>
        <v>0</v>
      </c>
      <c r="Q118" s="24">
        <f t="shared" si="32"/>
        <v>0</v>
      </c>
      <c r="R118" s="24">
        <f t="shared" si="32"/>
        <v>0</v>
      </c>
      <c r="S118" s="25">
        <f t="shared" si="32"/>
        <v>0</v>
      </c>
      <c r="T118" s="25">
        <f t="shared" si="32"/>
        <v>0</v>
      </c>
      <c r="U118" s="25">
        <f t="shared" si="32"/>
        <v>0</v>
      </c>
      <c r="V118" s="25">
        <f t="shared" si="32"/>
        <v>0</v>
      </c>
      <c r="W118" s="25">
        <f t="shared" si="32"/>
        <v>0</v>
      </c>
      <c r="X118" s="25">
        <f t="shared" si="32"/>
        <v>0</v>
      </c>
      <c r="Y118" s="25">
        <f t="shared" si="32"/>
        <v>0</v>
      </c>
      <c r="Z118" s="25">
        <f t="shared" si="32"/>
        <v>0</v>
      </c>
      <c r="AA118" s="25">
        <f t="shared" si="32"/>
        <v>0</v>
      </c>
      <c r="AB118" s="25">
        <f t="shared" si="32"/>
        <v>0</v>
      </c>
      <c r="AC118" s="25">
        <f t="shared" si="32"/>
        <v>0</v>
      </c>
      <c r="AD118" s="25">
        <f t="shared" si="32"/>
        <v>0</v>
      </c>
      <c r="AE118" s="24">
        <f t="shared" si="32"/>
        <v>0</v>
      </c>
      <c r="AF118" s="24">
        <f t="shared" si="32"/>
        <v>0</v>
      </c>
      <c r="AG118" s="24">
        <f t="shared" si="32"/>
        <v>0</v>
      </c>
      <c r="AH118" s="24">
        <f t="shared" si="32"/>
        <v>0</v>
      </c>
      <c r="AI118" s="24">
        <f t="shared" si="32"/>
        <v>0</v>
      </c>
      <c r="AJ118" s="24">
        <f t="shared" si="32"/>
        <v>0</v>
      </c>
      <c r="AK118" s="24">
        <f t="shared" si="32"/>
        <v>0</v>
      </c>
      <c r="AL118" s="24">
        <f t="shared" si="32"/>
        <v>0</v>
      </c>
      <c r="AM118" s="24">
        <f t="shared" si="32"/>
        <v>0</v>
      </c>
      <c r="AN118" s="24">
        <f t="shared" si="32"/>
        <v>0</v>
      </c>
      <c r="AO118" s="24">
        <f t="shared" si="32"/>
        <v>0</v>
      </c>
      <c r="AP118" s="24">
        <f t="shared" si="32"/>
        <v>0</v>
      </c>
    </row>
    <row r="119" spans="1:42" hidden="1" outlineLevel="1">
      <c r="A119" s="31">
        <f t="shared" si="33"/>
        <v>0</v>
      </c>
      <c r="B119" s="30">
        <f>IF(Cuestionario!$C$70="si",0,+Catálogo!G10)</f>
        <v>0</v>
      </c>
      <c r="G119" s="24">
        <f t="shared" si="32"/>
        <v>0</v>
      </c>
      <c r="H119" s="24">
        <f t="shared" si="32"/>
        <v>0</v>
      </c>
      <c r="I119" s="24">
        <f t="shared" si="32"/>
        <v>0</v>
      </c>
      <c r="J119" s="24">
        <f t="shared" si="32"/>
        <v>0</v>
      </c>
      <c r="K119" s="24">
        <f t="shared" si="32"/>
        <v>0</v>
      </c>
      <c r="L119" s="24">
        <f t="shared" si="32"/>
        <v>0</v>
      </c>
      <c r="M119" s="24">
        <f t="shared" si="32"/>
        <v>0</v>
      </c>
      <c r="N119" s="24">
        <f t="shared" si="32"/>
        <v>0</v>
      </c>
      <c r="O119" s="24">
        <f t="shared" si="32"/>
        <v>0</v>
      </c>
      <c r="P119" s="24">
        <f t="shared" si="32"/>
        <v>0</v>
      </c>
      <c r="Q119" s="24">
        <f t="shared" si="32"/>
        <v>0</v>
      </c>
      <c r="R119" s="24">
        <f t="shared" si="32"/>
        <v>0</v>
      </c>
      <c r="S119" s="25">
        <f t="shared" si="32"/>
        <v>0</v>
      </c>
      <c r="T119" s="25">
        <f t="shared" si="32"/>
        <v>0</v>
      </c>
      <c r="U119" s="25">
        <f t="shared" si="32"/>
        <v>0</v>
      </c>
      <c r="V119" s="25">
        <f t="shared" si="32"/>
        <v>0</v>
      </c>
      <c r="W119" s="25">
        <f t="shared" si="32"/>
        <v>0</v>
      </c>
      <c r="X119" s="25">
        <f t="shared" si="32"/>
        <v>0</v>
      </c>
      <c r="Y119" s="25">
        <f t="shared" si="32"/>
        <v>0</v>
      </c>
      <c r="Z119" s="25">
        <f t="shared" si="32"/>
        <v>0</v>
      </c>
      <c r="AA119" s="25">
        <f t="shared" si="32"/>
        <v>0</v>
      </c>
      <c r="AB119" s="25">
        <f t="shared" si="32"/>
        <v>0</v>
      </c>
      <c r="AC119" s="25">
        <f t="shared" si="32"/>
        <v>0</v>
      </c>
      <c r="AD119" s="25">
        <f t="shared" si="32"/>
        <v>0</v>
      </c>
      <c r="AE119" s="24">
        <f t="shared" si="32"/>
        <v>0</v>
      </c>
      <c r="AF119" s="24">
        <f t="shared" si="32"/>
        <v>0</v>
      </c>
      <c r="AG119" s="24">
        <f t="shared" si="32"/>
        <v>0</v>
      </c>
      <c r="AH119" s="24">
        <f t="shared" si="32"/>
        <v>0</v>
      </c>
      <c r="AI119" s="24">
        <f t="shared" si="32"/>
        <v>0</v>
      </c>
      <c r="AJ119" s="24">
        <f t="shared" si="32"/>
        <v>0</v>
      </c>
      <c r="AK119" s="24">
        <f t="shared" si="32"/>
        <v>0</v>
      </c>
      <c r="AL119" s="24">
        <f t="shared" si="32"/>
        <v>0</v>
      </c>
      <c r="AM119" s="24">
        <f t="shared" si="32"/>
        <v>0</v>
      </c>
      <c r="AN119" s="24">
        <f t="shared" si="32"/>
        <v>0</v>
      </c>
      <c r="AO119" s="24">
        <f t="shared" si="32"/>
        <v>0</v>
      </c>
      <c r="AP119" s="24">
        <f t="shared" si="32"/>
        <v>0</v>
      </c>
    </row>
    <row r="120" spans="1:42" hidden="1" outlineLevel="1">
      <c r="A120" s="31">
        <f t="shared" si="33"/>
        <v>0</v>
      </c>
      <c r="B120" s="30">
        <f>IF(Cuestionario!$C$70="si",0,+Catálogo!G11)</f>
        <v>0</v>
      </c>
      <c r="G120" s="24">
        <f t="shared" si="32"/>
        <v>0</v>
      </c>
      <c r="H120" s="24">
        <f t="shared" si="32"/>
        <v>0</v>
      </c>
      <c r="I120" s="24">
        <f t="shared" si="32"/>
        <v>0</v>
      </c>
      <c r="J120" s="24">
        <f t="shared" si="32"/>
        <v>0</v>
      </c>
      <c r="K120" s="24">
        <f t="shared" si="32"/>
        <v>0</v>
      </c>
      <c r="L120" s="24">
        <f t="shared" si="32"/>
        <v>0</v>
      </c>
      <c r="M120" s="24">
        <f t="shared" si="32"/>
        <v>0</v>
      </c>
      <c r="N120" s="24">
        <f t="shared" si="32"/>
        <v>0</v>
      </c>
      <c r="O120" s="24">
        <f t="shared" si="32"/>
        <v>0</v>
      </c>
      <c r="P120" s="24">
        <f t="shared" si="32"/>
        <v>0</v>
      </c>
      <c r="Q120" s="24">
        <f t="shared" si="32"/>
        <v>0</v>
      </c>
      <c r="R120" s="24">
        <f t="shared" si="32"/>
        <v>0</v>
      </c>
      <c r="S120" s="25">
        <f t="shared" si="32"/>
        <v>0</v>
      </c>
      <c r="T120" s="25">
        <f t="shared" si="32"/>
        <v>0</v>
      </c>
      <c r="U120" s="25">
        <f t="shared" si="32"/>
        <v>0</v>
      </c>
      <c r="V120" s="25">
        <f t="shared" si="32"/>
        <v>0</v>
      </c>
      <c r="W120" s="25">
        <f t="shared" si="32"/>
        <v>0</v>
      </c>
      <c r="X120" s="25">
        <f t="shared" si="32"/>
        <v>0</v>
      </c>
      <c r="Y120" s="25">
        <f t="shared" si="32"/>
        <v>0</v>
      </c>
      <c r="Z120" s="25">
        <f t="shared" si="32"/>
        <v>0</v>
      </c>
      <c r="AA120" s="25">
        <f t="shared" si="32"/>
        <v>0</v>
      </c>
      <c r="AB120" s="25">
        <f t="shared" si="32"/>
        <v>0</v>
      </c>
      <c r="AC120" s="25">
        <f t="shared" si="32"/>
        <v>0</v>
      </c>
      <c r="AD120" s="25">
        <f t="shared" si="32"/>
        <v>0</v>
      </c>
      <c r="AE120" s="24">
        <f t="shared" si="32"/>
        <v>0</v>
      </c>
      <c r="AF120" s="24">
        <f t="shared" si="32"/>
        <v>0</v>
      </c>
      <c r="AG120" s="24">
        <f t="shared" si="32"/>
        <v>0</v>
      </c>
      <c r="AH120" s="24">
        <f t="shared" si="32"/>
        <v>0</v>
      </c>
      <c r="AI120" s="24">
        <f t="shared" si="32"/>
        <v>0</v>
      </c>
      <c r="AJ120" s="24">
        <f t="shared" si="32"/>
        <v>0</v>
      </c>
      <c r="AK120" s="24">
        <f t="shared" si="32"/>
        <v>0</v>
      </c>
      <c r="AL120" s="24">
        <f t="shared" si="32"/>
        <v>0</v>
      </c>
      <c r="AM120" s="24">
        <f t="shared" si="32"/>
        <v>0</v>
      </c>
      <c r="AN120" s="24">
        <f t="shared" si="32"/>
        <v>0</v>
      </c>
      <c r="AO120" s="24">
        <f t="shared" si="32"/>
        <v>0</v>
      </c>
      <c r="AP120" s="24">
        <f t="shared" si="32"/>
        <v>0</v>
      </c>
    </row>
    <row r="121" spans="1:42" hidden="1" outlineLevel="1">
      <c r="A121" s="31">
        <f t="shared" si="33"/>
        <v>0</v>
      </c>
      <c r="B121" s="30">
        <f>IF(Cuestionario!$C$70="si",0,+Catálogo!G12)</f>
        <v>0</v>
      </c>
      <c r="G121" s="24">
        <f t="shared" si="32"/>
        <v>0</v>
      </c>
      <c r="H121" s="24">
        <f t="shared" si="32"/>
        <v>0</v>
      </c>
      <c r="I121" s="24">
        <f t="shared" si="32"/>
        <v>0</v>
      </c>
      <c r="J121" s="24">
        <f t="shared" si="32"/>
        <v>0</v>
      </c>
      <c r="K121" s="24">
        <f t="shared" si="32"/>
        <v>0</v>
      </c>
      <c r="L121" s="24">
        <f t="shared" si="32"/>
        <v>0</v>
      </c>
      <c r="M121" s="24">
        <f t="shared" si="32"/>
        <v>0</v>
      </c>
      <c r="N121" s="24">
        <f t="shared" si="32"/>
        <v>0</v>
      </c>
      <c r="O121" s="24">
        <f t="shared" si="32"/>
        <v>0</v>
      </c>
      <c r="P121" s="24">
        <f t="shared" si="32"/>
        <v>0</v>
      </c>
      <c r="Q121" s="24">
        <f t="shared" si="32"/>
        <v>0</v>
      </c>
      <c r="R121" s="24">
        <f t="shared" si="32"/>
        <v>0</v>
      </c>
      <c r="S121" s="25">
        <f t="shared" si="32"/>
        <v>0</v>
      </c>
      <c r="T121" s="25">
        <f t="shared" si="32"/>
        <v>0</v>
      </c>
      <c r="U121" s="25">
        <f t="shared" si="32"/>
        <v>0</v>
      </c>
      <c r="V121" s="25">
        <f t="shared" si="32"/>
        <v>0</v>
      </c>
      <c r="W121" s="25">
        <f t="shared" si="32"/>
        <v>0</v>
      </c>
      <c r="X121" s="25">
        <f t="shared" si="32"/>
        <v>0</v>
      </c>
      <c r="Y121" s="25">
        <f t="shared" si="32"/>
        <v>0</v>
      </c>
      <c r="Z121" s="25">
        <f t="shared" si="32"/>
        <v>0</v>
      </c>
      <c r="AA121" s="25">
        <f t="shared" si="32"/>
        <v>0</v>
      </c>
      <c r="AB121" s="25">
        <f t="shared" si="32"/>
        <v>0</v>
      </c>
      <c r="AC121" s="25">
        <f t="shared" si="32"/>
        <v>0</v>
      </c>
      <c r="AD121" s="25">
        <f t="shared" si="32"/>
        <v>0</v>
      </c>
      <c r="AE121" s="24">
        <f t="shared" si="32"/>
        <v>0</v>
      </c>
      <c r="AF121" s="24">
        <f t="shared" si="32"/>
        <v>0</v>
      </c>
      <c r="AG121" s="24">
        <f t="shared" si="32"/>
        <v>0</v>
      </c>
      <c r="AH121" s="24">
        <f t="shared" si="32"/>
        <v>0</v>
      </c>
      <c r="AI121" s="24">
        <f t="shared" si="32"/>
        <v>0</v>
      </c>
      <c r="AJ121" s="24">
        <f t="shared" si="32"/>
        <v>0</v>
      </c>
      <c r="AK121" s="24">
        <f t="shared" si="32"/>
        <v>0</v>
      </c>
      <c r="AL121" s="24">
        <f t="shared" si="32"/>
        <v>0</v>
      </c>
      <c r="AM121" s="24">
        <f t="shared" si="32"/>
        <v>0</v>
      </c>
      <c r="AN121" s="24">
        <f t="shared" si="32"/>
        <v>0</v>
      </c>
      <c r="AO121" s="24">
        <f t="shared" si="32"/>
        <v>0</v>
      </c>
      <c r="AP121" s="24">
        <f t="shared" si="32"/>
        <v>0</v>
      </c>
    </row>
    <row r="122" spans="1:42" hidden="1" outlineLevel="1">
      <c r="A122" s="31">
        <f t="shared" si="33"/>
        <v>0</v>
      </c>
      <c r="B122" s="30">
        <f>IF(Cuestionario!$C$70="si",0,+Catálogo!G13)</f>
        <v>0</v>
      </c>
      <c r="G122" s="24">
        <f t="shared" si="32"/>
        <v>0</v>
      </c>
      <c r="H122" s="24">
        <f t="shared" si="32"/>
        <v>0</v>
      </c>
      <c r="I122" s="24">
        <f t="shared" si="32"/>
        <v>0</v>
      </c>
      <c r="J122" s="24">
        <f t="shared" si="32"/>
        <v>0</v>
      </c>
      <c r="K122" s="24">
        <f t="shared" ref="K122:AP129" si="34">+K90*$B122</f>
        <v>0</v>
      </c>
      <c r="L122" s="24">
        <f t="shared" si="34"/>
        <v>0</v>
      </c>
      <c r="M122" s="24">
        <f t="shared" si="34"/>
        <v>0</v>
      </c>
      <c r="N122" s="24">
        <f t="shared" si="34"/>
        <v>0</v>
      </c>
      <c r="O122" s="24">
        <f t="shared" si="34"/>
        <v>0</v>
      </c>
      <c r="P122" s="24">
        <f t="shared" si="34"/>
        <v>0</v>
      </c>
      <c r="Q122" s="24">
        <f t="shared" si="34"/>
        <v>0</v>
      </c>
      <c r="R122" s="24">
        <f t="shared" si="34"/>
        <v>0</v>
      </c>
      <c r="S122" s="25">
        <f t="shared" si="34"/>
        <v>0</v>
      </c>
      <c r="T122" s="25">
        <f t="shared" si="34"/>
        <v>0</v>
      </c>
      <c r="U122" s="25">
        <f t="shared" si="34"/>
        <v>0</v>
      </c>
      <c r="V122" s="25">
        <f t="shared" si="34"/>
        <v>0</v>
      </c>
      <c r="W122" s="25">
        <f t="shared" si="34"/>
        <v>0</v>
      </c>
      <c r="X122" s="25">
        <f t="shared" si="34"/>
        <v>0</v>
      </c>
      <c r="Y122" s="25">
        <f t="shared" si="34"/>
        <v>0</v>
      </c>
      <c r="Z122" s="25">
        <f t="shared" si="34"/>
        <v>0</v>
      </c>
      <c r="AA122" s="25">
        <f t="shared" si="34"/>
        <v>0</v>
      </c>
      <c r="AB122" s="25">
        <f t="shared" si="34"/>
        <v>0</v>
      </c>
      <c r="AC122" s="25">
        <f t="shared" si="34"/>
        <v>0</v>
      </c>
      <c r="AD122" s="25">
        <f t="shared" si="34"/>
        <v>0</v>
      </c>
      <c r="AE122" s="24">
        <f t="shared" si="34"/>
        <v>0</v>
      </c>
      <c r="AF122" s="24">
        <f t="shared" si="34"/>
        <v>0</v>
      </c>
      <c r="AG122" s="24">
        <f t="shared" si="34"/>
        <v>0</v>
      </c>
      <c r="AH122" s="24">
        <f t="shared" si="34"/>
        <v>0</v>
      </c>
      <c r="AI122" s="24">
        <f t="shared" si="34"/>
        <v>0</v>
      </c>
      <c r="AJ122" s="24">
        <f t="shared" si="34"/>
        <v>0</v>
      </c>
      <c r="AK122" s="24">
        <f t="shared" si="34"/>
        <v>0</v>
      </c>
      <c r="AL122" s="24">
        <f t="shared" si="34"/>
        <v>0</v>
      </c>
      <c r="AM122" s="24">
        <f t="shared" si="34"/>
        <v>0</v>
      </c>
      <c r="AN122" s="24">
        <f t="shared" si="34"/>
        <v>0</v>
      </c>
      <c r="AO122" s="24">
        <f t="shared" si="34"/>
        <v>0</v>
      </c>
      <c r="AP122" s="24">
        <f t="shared" si="34"/>
        <v>0</v>
      </c>
    </row>
    <row r="123" spans="1:42" hidden="1" outlineLevel="1">
      <c r="A123" s="31">
        <f t="shared" si="33"/>
        <v>0</v>
      </c>
      <c r="B123" s="30">
        <f>IF(Cuestionario!$C$70="si",0,+Catálogo!G14)</f>
        <v>0</v>
      </c>
      <c r="G123" s="24">
        <f t="shared" ref="G123:AF129" si="35">+G91*$B123</f>
        <v>0</v>
      </c>
      <c r="H123" s="24">
        <f t="shared" si="35"/>
        <v>0</v>
      </c>
      <c r="I123" s="24">
        <f t="shared" si="35"/>
        <v>0</v>
      </c>
      <c r="J123" s="24">
        <f t="shared" si="35"/>
        <v>0</v>
      </c>
      <c r="K123" s="24">
        <f t="shared" si="35"/>
        <v>0</v>
      </c>
      <c r="L123" s="24">
        <f t="shared" si="35"/>
        <v>0</v>
      </c>
      <c r="M123" s="24">
        <f t="shared" si="35"/>
        <v>0</v>
      </c>
      <c r="N123" s="24">
        <f t="shared" si="35"/>
        <v>0</v>
      </c>
      <c r="O123" s="24">
        <f t="shared" si="35"/>
        <v>0</v>
      </c>
      <c r="P123" s="24">
        <f t="shared" si="35"/>
        <v>0</v>
      </c>
      <c r="Q123" s="24">
        <f t="shared" si="35"/>
        <v>0</v>
      </c>
      <c r="R123" s="24">
        <f t="shared" si="35"/>
        <v>0</v>
      </c>
      <c r="S123" s="25">
        <f t="shared" si="35"/>
        <v>0</v>
      </c>
      <c r="T123" s="25">
        <f t="shared" si="35"/>
        <v>0</v>
      </c>
      <c r="U123" s="25">
        <f t="shared" si="35"/>
        <v>0</v>
      </c>
      <c r="V123" s="25">
        <f t="shared" si="35"/>
        <v>0</v>
      </c>
      <c r="W123" s="25">
        <f t="shared" si="35"/>
        <v>0</v>
      </c>
      <c r="X123" s="25">
        <f t="shared" si="35"/>
        <v>0</v>
      </c>
      <c r="Y123" s="25">
        <f t="shared" si="35"/>
        <v>0</v>
      </c>
      <c r="Z123" s="25">
        <f t="shared" si="35"/>
        <v>0</v>
      </c>
      <c r="AA123" s="25">
        <f t="shared" si="35"/>
        <v>0</v>
      </c>
      <c r="AB123" s="25">
        <f t="shared" si="35"/>
        <v>0</v>
      </c>
      <c r="AC123" s="25">
        <f t="shared" si="35"/>
        <v>0</v>
      </c>
      <c r="AD123" s="25">
        <f t="shared" si="35"/>
        <v>0</v>
      </c>
      <c r="AE123" s="24">
        <f t="shared" si="35"/>
        <v>0</v>
      </c>
      <c r="AF123" s="24">
        <f t="shared" si="35"/>
        <v>0</v>
      </c>
      <c r="AG123" s="24">
        <f t="shared" si="34"/>
        <v>0</v>
      </c>
      <c r="AH123" s="24">
        <f t="shared" si="34"/>
        <v>0</v>
      </c>
      <c r="AI123" s="24">
        <f t="shared" si="34"/>
        <v>0</v>
      </c>
      <c r="AJ123" s="24">
        <f t="shared" si="34"/>
        <v>0</v>
      </c>
      <c r="AK123" s="24">
        <f t="shared" si="34"/>
        <v>0</v>
      </c>
      <c r="AL123" s="24">
        <f t="shared" si="34"/>
        <v>0</v>
      </c>
      <c r="AM123" s="24">
        <f t="shared" si="34"/>
        <v>0</v>
      </c>
      <c r="AN123" s="24">
        <f t="shared" si="34"/>
        <v>0</v>
      </c>
      <c r="AO123" s="24">
        <f t="shared" si="34"/>
        <v>0</v>
      </c>
      <c r="AP123" s="24">
        <f t="shared" si="34"/>
        <v>0</v>
      </c>
    </row>
    <row r="124" spans="1:42" hidden="1" outlineLevel="1">
      <c r="A124" s="31">
        <f t="shared" si="33"/>
        <v>0</v>
      </c>
      <c r="B124" s="30">
        <f>IF(Cuestionario!$C$70="si",0,+Catálogo!G15)</f>
        <v>0</v>
      </c>
      <c r="G124" s="24">
        <f t="shared" si="35"/>
        <v>0</v>
      </c>
      <c r="H124" s="24">
        <f t="shared" si="35"/>
        <v>0</v>
      </c>
      <c r="I124" s="24">
        <f t="shared" si="35"/>
        <v>0</v>
      </c>
      <c r="J124" s="24">
        <f t="shared" si="35"/>
        <v>0</v>
      </c>
      <c r="K124" s="24">
        <f t="shared" si="35"/>
        <v>0</v>
      </c>
      <c r="L124" s="24">
        <f t="shared" si="35"/>
        <v>0</v>
      </c>
      <c r="M124" s="24">
        <f t="shared" si="35"/>
        <v>0</v>
      </c>
      <c r="N124" s="24">
        <f t="shared" si="35"/>
        <v>0</v>
      </c>
      <c r="O124" s="24">
        <f t="shared" si="35"/>
        <v>0</v>
      </c>
      <c r="P124" s="24">
        <f t="shared" si="35"/>
        <v>0</v>
      </c>
      <c r="Q124" s="24">
        <f t="shared" si="35"/>
        <v>0</v>
      </c>
      <c r="R124" s="24">
        <f t="shared" si="35"/>
        <v>0</v>
      </c>
      <c r="S124" s="25">
        <f t="shared" si="35"/>
        <v>0</v>
      </c>
      <c r="T124" s="25">
        <f t="shared" si="35"/>
        <v>0</v>
      </c>
      <c r="U124" s="25">
        <f t="shared" si="35"/>
        <v>0</v>
      </c>
      <c r="V124" s="25">
        <f t="shared" si="35"/>
        <v>0</v>
      </c>
      <c r="W124" s="25">
        <f t="shared" si="35"/>
        <v>0</v>
      </c>
      <c r="X124" s="25">
        <f t="shared" si="35"/>
        <v>0</v>
      </c>
      <c r="Y124" s="25">
        <f t="shared" si="35"/>
        <v>0</v>
      </c>
      <c r="Z124" s="25">
        <f t="shared" si="35"/>
        <v>0</v>
      </c>
      <c r="AA124" s="25">
        <f t="shared" si="35"/>
        <v>0</v>
      </c>
      <c r="AB124" s="25">
        <f t="shared" si="35"/>
        <v>0</v>
      </c>
      <c r="AC124" s="25">
        <f t="shared" si="35"/>
        <v>0</v>
      </c>
      <c r="AD124" s="25">
        <f t="shared" si="35"/>
        <v>0</v>
      </c>
      <c r="AE124" s="24">
        <f t="shared" si="35"/>
        <v>0</v>
      </c>
      <c r="AF124" s="24">
        <f t="shared" si="35"/>
        <v>0</v>
      </c>
      <c r="AG124" s="24">
        <f t="shared" si="34"/>
        <v>0</v>
      </c>
      <c r="AH124" s="24">
        <f t="shared" si="34"/>
        <v>0</v>
      </c>
      <c r="AI124" s="24">
        <f t="shared" si="34"/>
        <v>0</v>
      </c>
      <c r="AJ124" s="24">
        <f t="shared" si="34"/>
        <v>0</v>
      </c>
      <c r="AK124" s="24">
        <f t="shared" si="34"/>
        <v>0</v>
      </c>
      <c r="AL124" s="24">
        <f t="shared" si="34"/>
        <v>0</v>
      </c>
      <c r="AM124" s="24">
        <f t="shared" si="34"/>
        <v>0</v>
      </c>
      <c r="AN124" s="24">
        <f t="shared" si="34"/>
        <v>0</v>
      </c>
      <c r="AO124" s="24">
        <f t="shared" si="34"/>
        <v>0</v>
      </c>
      <c r="AP124" s="24">
        <f t="shared" si="34"/>
        <v>0</v>
      </c>
    </row>
    <row r="125" spans="1:42" hidden="1" outlineLevel="1">
      <c r="A125" s="31">
        <f t="shared" si="33"/>
        <v>0</v>
      </c>
      <c r="B125" s="30">
        <f>IF(Cuestionario!$C$70="si",0,+Catálogo!G16)</f>
        <v>0</v>
      </c>
      <c r="G125" s="24">
        <f t="shared" si="35"/>
        <v>0</v>
      </c>
      <c r="H125" s="24">
        <f t="shared" si="35"/>
        <v>0</v>
      </c>
      <c r="I125" s="24">
        <f t="shared" si="35"/>
        <v>0</v>
      </c>
      <c r="J125" s="24">
        <f t="shared" si="35"/>
        <v>0</v>
      </c>
      <c r="K125" s="24">
        <f t="shared" si="35"/>
        <v>0</v>
      </c>
      <c r="L125" s="24">
        <f t="shared" si="35"/>
        <v>0</v>
      </c>
      <c r="M125" s="24">
        <f t="shared" si="35"/>
        <v>0</v>
      </c>
      <c r="N125" s="24">
        <f t="shared" si="35"/>
        <v>0</v>
      </c>
      <c r="O125" s="24">
        <f t="shared" si="35"/>
        <v>0</v>
      </c>
      <c r="P125" s="24">
        <f t="shared" si="35"/>
        <v>0</v>
      </c>
      <c r="Q125" s="24">
        <f t="shared" si="35"/>
        <v>0</v>
      </c>
      <c r="R125" s="24">
        <f t="shared" si="35"/>
        <v>0</v>
      </c>
      <c r="S125" s="25">
        <f t="shared" si="35"/>
        <v>0</v>
      </c>
      <c r="T125" s="25">
        <f t="shared" si="35"/>
        <v>0</v>
      </c>
      <c r="U125" s="25">
        <f t="shared" si="35"/>
        <v>0</v>
      </c>
      <c r="V125" s="25">
        <f t="shared" si="35"/>
        <v>0</v>
      </c>
      <c r="W125" s="25">
        <f t="shared" si="35"/>
        <v>0</v>
      </c>
      <c r="X125" s="25">
        <f t="shared" si="35"/>
        <v>0</v>
      </c>
      <c r="Y125" s="25">
        <f t="shared" si="35"/>
        <v>0</v>
      </c>
      <c r="Z125" s="25">
        <f t="shared" si="35"/>
        <v>0</v>
      </c>
      <c r="AA125" s="25">
        <f t="shared" si="35"/>
        <v>0</v>
      </c>
      <c r="AB125" s="25">
        <f t="shared" si="35"/>
        <v>0</v>
      </c>
      <c r="AC125" s="25">
        <f t="shared" si="35"/>
        <v>0</v>
      </c>
      <c r="AD125" s="25">
        <f t="shared" si="35"/>
        <v>0</v>
      </c>
      <c r="AE125" s="24">
        <f t="shared" si="35"/>
        <v>0</v>
      </c>
      <c r="AF125" s="24">
        <f t="shared" si="35"/>
        <v>0</v>
      </c>
      <c r="AG125" s="24">
        <f t="shared" si="34"/>
        <v>0</v>
      </c>
      <c r="AH125" s="24">
        <f t="shared" si="34"/>
        <v>0</v>
      </c>
      <c r="AI125" s="24">
        <f t="shared" si="34"/>
        <v>0</v>
      </c>
      <c r="AJ125" s="24">
        <f t="shared" si="34"/>
        <v>0</v>
      </c>
      <c r="AK125" s="24">
        <f t="shared" si="34"/>
        <v>0</v>
      </c>
      <c r="AL125" s="24">
        <f t="shared" si="34"/>
        <v>0</v>
      </c>
      <c r="AM125" s="24">
        <f t="shared" si="34"/>
        <v>0</v>
      </c>
      <c r="AN125" s="24">
        <f t="shared" si="34"/>
        <v>0</v>
      </c>
      <c r="AO125" s="24">
        <f t="shared" si="34"/>
        <v>0</v>
      </c>
      <c r="AP125" s="24">
        <f t="shared" si="34"/>
        <v>0</v>
      </c>
    </row>
    <row r="126" spans="1:42" hidden="1" outlineLevel="1">
      <c r="A126" s="31">
        <f t="shared" si="33"/>
        <v>0</v>
      </c>
      <c r="B126" s="30">
        <f>IF(Cuestionario!$C$70="si",0,+Catálogo!G17)</f>
        <v>0</v>
      </c>
      <c r="G126" s="24">
        <f t="shared" si="35"/>
        <v>0</v>
      </c>
      <c r="H126" s="24">
        <f t="shared" si="35"/>
        <v>0</v>
      </c>
      <c r="I126" s="24">
        <f t="shared" si="35"/>
        <v>0</v>
      </c>
      <c r="J126" s="24">
        <f t="shared" si="35"/>
        <v>0</v>
      </c>
      <c r="K126" s="24">
        <f t="shared" si="35"/>
        <v>0</v>
      </c>
      <c r="L126" s="24">
        <f t="shared" si="35"/>
        <v>0</v>
      </c>
      <c r="M126" s="24">
        <f t="shared" si="35"/>
        <v>0</v>
      </c>
      <c r="N126" s="24">
        <f t="shared" si="35"/>
        <v>0</v>
      </c>
      <c r="O126" s="24">
        <f t="shared" si="35"/>
        <v>0</v>
      </c>
      <c r="P126" s="24">
        <f t="shared" si="35"/>
        <v>0</v>
      </c>
      <c r="Q126" s="24">
        <f t="shared" si="35"/>
        <v>0</v>
      </c>
      <c r="R126" s="24">
        <f t="shared" si="35"/>
        <v>0</v>
      </c>
      <c r="S126" s="25">
        <f t="shared" si="35"/>
        <v>0</v>
      </c>
      <c r="T126" s="25">
        <f t="shared" si="35"/>
        <v>0</v>
      </c>
      <c r="U126" s="25">
        <f t="shared" si="35"/>
        <v>0</v>
      </c>
      <c r="V126" s="25">
        <f t="shared" si="35"/>
        <v>0</v>
      </c>
      <c r="W126" s="25">
        <f t="shared" si="35"/>
        <v>0</v>
      </c>
      <c r="X126" s="25">
        <f t="shared" si="35"/>
        <v>0</v>
      </c>
      <c r="Y126" s="25">
        <f t="shared" si="35"/>
        <v>0</v>
      </c>
      <c r="Z126" s="25">
        <f t="shared" si="35"/>
        <v>0</v>
      </c>
      <c r="AA126" s="25">
        <f t="shared" si="35"/>
        <v>0</v>
      </c>
      <c r="AB126" s="25">
        <f t="shared" si="35"/>
        <v>0</v>
      </c>
      <c r="AC126" s="25">
        <f t="shared" si="35"/>
        <v>0</v>
      </c>
      <c r="AD126" s="25">
        <f t="shared" si="35"/>
        <v>0</v>
      </c>
      <c r="AE126" s="24">
        <f t="shared" si="35"/>
        <v>0</v>
      </c>
      <c r="AF126" s="24">
        <f t="shared" si="35"/>
        <v>0</v>
      </c>
      <c r="AG126" s="24">
        <f t="shared" si="34"/>
        <v>0</v>
      </c>
      <c r="AH126" s="24">
        <f t="shared" si="34"/>
        <v>0</v>
      </c>
      <c r="AI126" s="24">
        <f t="shared" si="34"/>
        <v>0</v>
      </c>
      <c r="AJ126" s="24">
        <f t="shared" si="34"/>
        <v>0</v>
      </c>
      <c r="AK126" s="24">
        <f t="shared" si="34"/>
        <v>0</v>
      </c>
      <c r="AL126" s="24">
        <f t="shared" si="34"/>
        <v>0</v>
      </c>
      <c r="AM126" s="24">
        <f t="shared" si="34"/>
        <v>0</v>
      </c>
      <c r="AN126" s="24">
        <f t="shared" si="34"/>
        <v>0</v>
      </c>
      <c r="AO126" s="24">
        <f t="shared" si="34"/>
        <v>0</v>
      </c>
      <c r="AP126" s="24">
        <f t="shared" si="34"/>
        <v>0</v>
      </c>
    </row>
    <row r="127" spans="1:42" hidden="1" outlineLevel="1">
      <c r="A127" s="31">
        <f t="shared" si="33"/>
        <v>0</v>
      </c>
      <c r="B127" s="30">
        <f>IF(Cuestionario!$C$70="si",0,+Catálogo!G18)</f>
        <v>0</v>
      </c>
      <c r="G127" s="24">
        <f t="shared" si="35"/>
        <v>0</v>
      </c>
      <c r="H127" s="24">
        <f t="shared" si="35"/>
        <v>0</v>
      </c>
      <c r="I127" s="24">
        <f t="shared" si="35"/>
        <v>0</v>
      </c>
      <c r="J127" s="24">
        <f t="shared" si="35"/>
        <v>0</v>
      </c>
      <c r="K127" s="24">
        <f t="shared" si="35"/>
        <v>0</v>
      </c>
      <c r="L127" s="24">
        <f t="shared" si="35"/>
        <v>0</v>
      </c>
      <c r="M127" s="24">
        <f t="shared" si="35"/>
        <v>0</v>
      </c>
      <c r="N127" s="24">
        <f t="shared" si="35"/>
        <v>0</v>
      </c>
      <c r="O127" s="24">
        <f t="shared" si="35"/>
        <v>0</v>
      </c>
      <c r="P127" s="24">
        <f t="shared" si="35"/>
        <v>0</v>
      </c>
      <c r="Q127" s="24">
        <f t="shared" si="35"/>
        <v>0</v>
      </c>
      <c r="R127" s="24">
        <f t="shared" si="35"/>
        <v>0</v>
      </c>
      <c r="S127" s="25">
        <f t="shared" si="35"/>
        <v>0</v>
      </c>
      <c r="T127" s="25">
        <f t="shared" si="35"/>
        <v>0</v>
      </c>
      <c r="U127" s="25">
        <f t="shared" si="35"/>
        <v>0</v>
      </c>
      <c r="V127" s="25">
        <f t="shared" si="35"/>
        <v>0</v>
      </c>
      <c r="W127" s="25">
        <f t="shared" si="35"/>
        <v>0</v>
      </c>
      <c r="X127" s="25">
        <f t="shared" si="35"/>
        <v>0</v>
      </c>
      <c r="Y127" s="25">
        <f t="shared" si="35"/>
        <v>0</v>
      </c>
      <c r="Z127" s="25">
        <f t="shared" si="35"/>
        <v>0</v>
      </c>
      <c r="AA127" s="25">
        <f t="shared" si="35"/>
        <v>0</v>
      </c>
      <c r="AB127" s="25">
        <f t="shared" si="35"/>
        <v>0</v>
      </c>
      <c r="AC127" s="25">
        <f t="shared" si="35"/>
        <v>0</v>
      </c>
      <c r="AD127" s="25">
        <f t="shared" si="35"/>
        <v>0</v>
      </c>
      <c r="AE127" s="24">
        <f t="shared" si="35"/>
        <v>0</v>
      </c>
      <c r="AF127" s="24">
        <f t="shared" si="35"/>
        <v>0</v>
      </c>
      <c r="AG127" s="24">
        <f t="shared" si="34"/>
        <v>0</v>
      </c>
      <c r="AH127" s="24">
        <f t="shared" si="34"/>
        <v>0</v>
      </c>
      <c r="AI127" s="24">
        <f t="shared" si="34"/>
        <v>0</v>
      </c>
      <c r="AJ127" s="24">
        <f t="shared" si="34"/>
        <v>0</v>
      </c>
      <c r="AK127" s="24">
        <f t="shared" si="34"/>
        <v>0</v>
      </c>
      <c r="AL127" s="24">
        <f t="shared" si="34"/>
        <v>0</v>
      </c>
      <c r="AM127" s="24">
        <f t="shared" si="34"/>
        <v>0</v>
      </c>
      <c r="AN127" s="24">
        <f t="shared" si="34"/>
        <v>0</v>
      </c>
      <c r="AO127" s="24">
        <f t="shared" si="34"/>
        <v>0</v>
      </c>
      <c r="AP127" s="24">
        <f t="shared" si="34"/>
        <v>0</v>
      </c>
    </row>
    <row r="128" spans="1:42" hidden="1" outlineLevel="1">
      <c r="A128" s="31">
        <f t="shared" si="33"/>
        <v>0</v>
      </c>
      <c r="B128" s="30">
        <f>IF(Cuestionario!$C$70="si",0,+Catálogo!G19)</f>
        <v>0</v>
      </c>
      <c r="G128" s="24">
        <f t="shared" si="35"/>
        <v>0</v>
      </c>
      <c r="H128" s="24">
        <f t="shared" si="35"/>
        <v>0</v>
      </c>
      <c r="I128" s="24">
        <f t="shared" si="35"/>
        <v>0</v>
      </c>
      <c r="J128" s="24">
        <f t="shared" si="35"/>
        <v>0</v>
      </c>
      <c r="K128" s="24">
        <f t="shared" si="35"/>
        <v>0</v>
      </c>
      <c r="L128" s="24">
        <f t="shared" si="35"/>
        <v>0</v>
      </c>
      <c r="M128" s="24">
        <f t="shared" si="35"/>
        <v>0</v>
      </c>
      <c r="N128" s="24">
        <f t="shared" si="35"/>
        <v>0</v>
      </c>
      <c r="O128" s="24">
        <f t="shared" si="35"/>
        <v>0</v>
      </c>
      <c r="P128" s="24">
        <f t="shared" si="35"/>
        <v>0</v>
      </c>
      <c r="Q128" s="24">
        <f t="shared" si="35"/>
        <v>0</v>
      </c>
      <c r="R128" s="24">
        <f t="shared" si="35"/>
        <v>0</v>
      </c>
      <c r="S128" s="25">
        <f t="shared" si="35"/>
        <v>0</v>
      </c>
      <c r="T128" s="25">
        <f t="shared" si="35"/>
        <v>0</v>
      </c>
      <c r="U128" s="25">
        <f t="shared" si="35"/>
        <v>0</v>
      </c>
      <c r="V128" s="25">
        <f t="shared" si="35"/>
        <v>0</v>
      </c>
      <c r="W128" s="25">
        <f t="shared" si="35"/>
        <v>0</v>
      </c>
      <c r="X128" s="25">
        <f t="shared" si="35"/>
        <v>0</v>
      </c>
      <c r="Y128" s="25">
        <f t="shared" si="35"/>
        <v>0</v>
      </c>
      <c r="Z128" s="25">
        <f t="shared" si="35"/>
        <v>0</v>
      </c>
      <c r="AA128" s="25">
        <f t="shared" si="35"/>
        <v>0</v>
      </c>
      <c r="AB128" s="25">
        <f t="shared" si="35"/>
        <v>0</v>
      </c>
      <c r="AC128" s="25">
        <f t="shared" si="35"/>
        <v>0</v>
      </c>
      <c r="AD128" s="25">
        <f t="shared" si="35"/>
        <v>0</v>
      </c>
      <c r="AE128" s="24">
        <f t="shared" si="35"/>
        <v>0</v>
      </c>
      <c r="AF128" s="24">
        <f t="shared" si="35"/>
        <v>0</v>
      </c>
      <c r="AG128" s="24">
        <f t="shared" si="34"/>
        <v>0</v>
      </c>
      <c r="AH128" s="24">
        <f t="shared" si="34"/>
        <v>0</v>
      </c>
      <c r="AI128" s="24">
        <f t="shared" si="34"/>
        <v>0</v>
      </c>
      <c r="AJ128" s="24">
        <f t="shared" si="34"/>
        <v>0</v>
      </c>
      <c r="AK128" s="24">
        <f t="shared" si="34"/>
        <v>0</v>
      </c>
      <c r="AL128" s="24">
        <f t="shared" si="34"/>
        <v>0</v>
      </c>
      <c r="AM128" s="24">
        <f t="shared" si="34"/>
        <v>0</v>
      </c>
      <c r="AN128" s="24">
        <f t="shared" si="34"/>
        <v>0</v>
      </c>
      <c r="AO128" s="24">
        <f t="shared" si="34"/>
        <v>0</v>
      </c>
      <c r="AP128" s="24">
        <f t="shared" si="34"/>
        <v>0</v>
      </c>
    </row>
    <row r="129" spans="1:42" hidden="1" outlineLevel="1">
      <c r="A129" s="31">
        <f t="shared" si="33"/>
        <v>0</v>
      </c>
      <c r="B129" s="30">
        <f>IF(Cuestionario!$C$70="si",0,+Catálogo!G20)</f>
        <v>0</v>
      </c>
      <c r="G129" s="24">
        <f t="shared" si="35"/>
        <v>0</v>
      </c>
      <c r="H129" s="24">
        <f t="shared" si="35"/>
        <v>0</v>
      </c>
      <c r="I129" s="24">
        <f t="shared" si="35"/>
        <v>0</v>
      </c>
      <c r="J129" s="24">
        <f t="shared" si="35"/>
        <v>0</v>
      </c>
      <c r="K129" s="24">
        <f t="shared" si="35"/>
        <v>0</v>
      </c>
      <c r="L129" s="24">
        <f t="shared" si="35"/>
        <v>0</v>
      </c>
      <c r="M129" s="24">
        <f t="shared" si="35"/>
        <v>0</v>
      </c>
      <c r="N129" s="24">
        <f t="shared" si="35"/>
        <v>0</v>
      </c>
      <c r="O129" s="24">
        <f t="shared" si="35"/>
        <v>0</v>
      </c>
      <c r="P129" s="24">
        <f t="shared" si="35"/>
        <v>0</v>
      </c>
      <c r="Q129" s="24">
        <f t="shared" si="35"/>
        <v>0</v>
      </c>
      <c r="R129" s="24">
        <f t="shared" si="35"/>
        <v>0</v>
      </c>
      <c r="S129" s="25">
        <f t="shared" si="35"/>
        <v>0</v>
      </c>
      <c r="T129" s="25">
        <f t="shared" si="35"/>
        <v>0</v>
      </c>
      <c r="U129" s="25">
        <f t="shared" si="35"/>
        <v>0</v>
      </c>
      <c r="V129" s="25">
        <f t="shared" si="35"/>
        <v>0</v>
      </c>
      <c r="W129" s="25">
        <f t="shared" si="35"/>
        <v>0</v>
      </c>
      <c r="X129" s="25">
        <f t="shared" si="35"/>
        <v>0</v>
      </c>
      <c r="Y129" s="25">
        <f t="shared" si="35"/>
        <v>0</v>
      </c>
      <c r="Z129" s="25">
        <f t="shared" si="35"/>
        <v>0</v>
      </c>
      <c r="AA129" s="25">
        <f t="shared" si="35"/>
        <v>0</v>
      </c>
      <c r="AB129" s="25">
        <f t="shared" si="35"/>
        <v>0</v>
      </c>
      <c r="AC129" s="25">
        <f t="shared" si="35"/>
        <v>0</v>
      </c>
      <c r="AD129" s="25">
        <f t="shared" si="35"/>
        <v>0</v>
      </c>
      <c r="AE129" s="24">
        <f t="shared" si="35"/>
        <v>0</v>
      </c>
      <c r="AF129" s="24">
        <f t="shared" si="35"/>
        <v>0</v>
      </c>
      <c r="AG129" s="24">
        <f t="shared" si="34"/>
        <v>0</v>
      </c>
      <c r="AH129" s="24">
        <f t="shared" si="34"/>
        <v>0</v>
      </c>
      <c r="AI129" s="24">
        <f t="shared" si="34"/>
        <v>0</v>
      </c>
      <c r="AJ129" s="24">
        <f t="shared" si="34"/>
        <v>0</v>
      </c>
      <c r="AK129" s="24">
        <f t="shared" si="34"/>
        <v>0</v>
      </c>
      <c r="AL129" s="24">
        <f t="shared" si="34"/>
        <v>0</v>
      </c>
      <c r="AM129" s="24">
        <f t="shared" si="34"/>
        <v>0</v>
      </c>
      <c r="AN129" s="24">
        <f t="shared" si="34"/>
        <v>0</v>
      </c>
      <c r="AO129" s="24">
        <f t="shared" si="34"/>
        <v>0</v>
      </c>
      <c r="AP129" s="24">
        <f t="shared" si="34"/>
        <v>0</v>
      </c>
    </row>
    <row r="130" spans="1:42" collapsed="1">
      <c r="A130" s="26" t="s">
        <v>572</v>
      </c>
      <c r="B130" s="29"/>
      <c r="C130" s="26"/>
      <c r="D130" s="26"/>
      <c r="E130" s="26"/>
      <c r="F130" s="26"/>
      <c r="G130" s="27">
        <f t="shared" ref="G130:AP130" si="36">SUM(G115:G124)</f>
        <v>0</v>
      </c>
      <c r="H130" s="27">
        <f t="shared" si="36"/>
        <v>0</v>
      </c>
      <c r="I130" s="27">
        <f t="shared" si="36"/>
        <v>0</v>
      </c>
      <c r="J130" s="27">
        <f t="shared" si="36"/>
        <v>0</v>
      </c>
      <c r="K130" s="27">
        <f t="shared" si="36"/>
        <v>0</v>
      </c>
      <c r="L130" s="27">
        <f t="shared" si="36"/>
        <v>0</v>
      </c>
      <c r="M130" s="27">
        <f t="shared" si="36"/>
        <v>0</v>
      </c>
      <c r="N130" s="27">
        <f t="shared" si="36"/>
        <v>0</v>
      </c>
      <c r="O130" s="27">
        <f t="shared" si="36"/>
        <v>0</v>
      </c>
      <c r="P130" s="27">
        <f t="shared" si="36"/>
        <v>0</v>
      </c>
      <c r="Q130" s="27">
        <f t="shared" si="36"/>
        <v>0</v>
      </c>
      <c r="R130" s="27">
        <f t="shared" si="36"/>
        <v>0</v>
      </c>
      <c r="S130" s="28">
        <f t="shared" si="36"/>
        <v>0</v>
      </c>
      <c r="T130" s="28">
        <f t="shared" si="36"/>
        <v>0</v>
      </c>
      <c r="U130" s="28">
        <f t="shared" si="36"/>
        <v>0</v>
      </c>
      <c r="V130" s="28">
        <f t="shared" si="36"/>
        <v>0</v>
      </c>
      <c r="W130" s="28">
        <f t="shared" si="36"/>
        <v>0</v>
      </c>
      <c r="X130" s="28">
        <f t="shared" si="36"/>
        <v>0</v>
      </c>
      <c r="Y130" s="28">
        <f t="shared" si="36"/>
        <v>0</v>
      </c>
      <c r="Z130" s="28">
        <f t="shared" si="36"/>
        <v>0</v>
      </c>
      <c r="AA130" s="28">
        <f t="shared" si="36"/>
        <v>0</v>
      </c>
      <c r="AB130" s="28">
        <f t="shared" si="36"/>
        <v>0</v>
      </c>
      <c r="AC130" s="28">
        <f t="shared" si="36"/>
        <v>0</v>
      </c>
      <c r="AD130" s="28">
        <f t="shared" si="36"/>
        <v>0</v>
      </c>
      <c r="AE130" s="27">
        <f t="shared" si="36"/>
        <v>0</v>
      </c>
      <c r="AF130" s="27">
        <f t="shared" si="36"/>
        <v>0</v>
      </c>
      <c r="AG130" s="27">
        <f t="shared" si="36"/>
        <v>0</v>
      </c>
      <c r="AH130" s="27">
        <f t="shared" si="36"/>
        <v>0</v>
      </c>
      <c r="AI130" s="27">
        <f t="shared" si="36"/>
        <v>0</v>
      </c>
      <c r="AJ130" s="27">
        <f t="shared" si="36"/>
        <v>0</v>
      </c>
      <c r="AK130" s="27">
        <f t="shared" si="36"/>
        <v>0</v>
      </c>
      <c r="AL130" s="27">
        <f t="shared" si="36"/>
        <v>0</v>
      </c>
      <c r="AM130" s="27">
        <f t="shared" si="36"/>
        <v>0</v>
      </c>
      <c r="AN130" s="27">
        <f t="shared" si="36"/>
        <v>0</v>
      </c>
      <c r="AO130" s="27">
        <f t="shared" si="36"/>
        <v>0</v>
      </c>
      <c r="AP130" s="27">
        <f t="shared" si="36"/>
        <v>0</v>
      </c>
    </row>
    <row r="132" spans="1:42" hidden="1" outlineLevel="1">
      <c r="A132" s="31">
        <f>+A2</f>
        <v>0</v>
      </c>
      <c r="G132" s="24">
        <f>IF(G2=0,0,(+G2*Catálogo!$K6))</f>
        <v>0</v>
      </c>
      <c r="H132" s="24">
        <f>IF(H2=0,0,(+H2*Catálogo!$K6))</f>
        <v>0</v>
      </c>
      <c r="I132" s="24">
        <f>IF(I2=0,0,(+I2*Catálogo!$K6))</f>
        <v>0</v>
      </c>
      <c r="J132" s="24">
        <f>IF(J2=0,0,(+J2*Catálogo!$K6))</f>
        <v>0</v>
      </c>
      <c r="K132" s="24">
        <f>IF(K2=0,0,(+K2*Catálogo!$K6))</f>
        <v>0</v>
      </c>
      <c r="L132" s="24">
        <f>IF(L2=0,0,(+L2*Catálogo!$K6))</f>
        <v>0</v>
      </c>
      <c r="M132" s="24">
        <f>IF(M2=0,0,(+M2*Catálogo!$K6))</f>
        <v>0</v>
      </c>
      <c r="N132" s="24">
        <f>IF(N2=0,0,(+N2*Catálogo!$K6))</f>
        <v>0</v>
      </c>
      <c r="O132" s="24">
        <f>IF(O2=0,0,(+O2*Catálogo!$K6))</f>
        <v>0</v>
      </c>
      <c r="P132" s="24">
        <f>IF(P2=0,0,(+P2*Catálogo!$K6))</f>
        <v>0</v>
      </c>
      <c r="Q132" s="24">
        <f>IF(Q2=0,0,(+Q2*Catálogo!$K6))</f>
        <v>0</v>
      </c>
      <c r="R132" s="24">
        <f>IF(R2=0,0,(+R2*Catálogo!$K6))</f>
        <v>0</v>
      </c>
      <c r="S132" s="25">
        <f>IF(S2=0,0,(+S2*Catálogo!$K25))</f>
        <v>0</v>
      </c>
      <c r="T132" s="25">
        <f>IF(T2=0,0,(+T2*Catálogo!$K25))</f>
        <v>0</v>
      </c>
      <c r="U132" s="25">
        <f>IF(U2=0,0,(+U2*Catálogo!$K25))</f>
        <v>0</v>
      </c>
      <c r="V132" s="25">
        <f>IF(V2=0,0,(+V2*Catálogo!$K25))</f>
        <v>0</v>
      </c>
      <c r="W132" s="25">
        <f>IF(W2=0,0,(+W2*Catálogo!$K25))</f>
        <v>0</v>
      </c>
      <c r="X132" s="25">
        <f>IF(X2=0,0,(+X2*Catálogo!$K25))</f>
        <v>0</v>
      </c>
      <c r="Y132" s="25">
        <f>IF(Y2=0,0,(+Y2*Catálogo!$K25))</f>
        <v>0</v>
      </c>
      <c r="Z132" s="25">
        <f>IF(Z2=0,0,(+Z2*Catálogo!$K25))</f>
        <v>0</v>
      </c>
      <c r="AA132" s="25">
        <f>IF(AA2=0,0,(+AA2*Catálogo!$K25))</f>
        <v>0</v>
      </c>
      <c r="AB132" s="25">
        <f>IF(AB2=0,0,(+AB2*Catálogo!$K25))</f>
        <v>0</v>
      </c>
      <c r="AC132" s="25">
        <f>IF(AC2=0,0,(+AC2*Catálogo!$K25))</f>
        <v>0</v>
      </c>
      <c r="AD132" s="25">
        <f>IF(AD2=0,0,(+AD2*Catálogo!$K25))</f>
        <v>0</v>
      </c>
      <c r="AE132" s="24">
        <f>IF(AE2=0,0,(+AE2*Catálogo!$K43))</f>
        <v>0</v>
      </c>
      <c r="AF132" s="24">
        <f>IF(AF2=0,0,(+AF2*Catálogo!$K43))</f>
        <v>0</v>
      </c>
      <c r="AG132" s="24">
        <f>IF(AG2=0,0,(+AG2*Catálogo!$K43))</f>
        <v>0</v>
      </c>
      <c r="AH132" s="24">
        <f>IF(AH2=0,0,(+AH2*Catálogo!$K43))</f>
        <v>0</v>
      </c>
      <c r="AI132" s="24">
        <f>IF(AI2=0,0,(+AI2*Catálogo!$K43))</f>
        <v>0</v>
      </c>
      <c r="AJ132" s="24">
        <f>IF(AJ2=0,0,(+AJ2*Catálogo!$K43))</f>
        <v>0</v>
      </c>
      <c r="AK132" s="24">
        <f>IF(AK2=0,0,(+AK2*Catálogo!$K43))</f>
        <v>0</v>
      </c>
      <c r="AL132" s="24">
        <f>IF(AL2=0,0,(+AL2*Catálogo!$K43))</f>
        <v>0</v>
      </c>
      <c r="AM132" s="24">
        <f>IF(AM2=0,0,(+AM2*Catálogo!$K43))</f>
        <v>0</v>
      </c>
      <c r="AN132" s="24">
        <f>IF(AN2=0,0,(+AN2*Catálogo!$K43))</f>
        <v>0</v>
      </c>
      <c r="AO132" s="24">
        <f>IF(AO2=0,0,(+AO2*Catálogo!$K43))</f>
        <v>0</v>
      </c>
      <c r="AP132" s="24">
        <f>IF(AP2=0,0,(+AP2*Catálogo!$K43))</f>
        <v>0</v>
      </c>
    </row>
    <row r="133" spans="1:42" hidden="1" outlineLevel="1">
      <c r="A133" s="31">
        <f t="shared" ref="A133:A146" si="37">+A3</f>
        <v>0</v>
      </c>
      <c r="G133" s="24">
        <f>IF(G3=0,0,(+G3*Catálogo!$K7))</f>
        <v>0</v>
      </c>
      <c r="H133" s="24">
        <f>IF(H3=0,0,(+H3*Catálogo!$K7))</f>
        <v>0</v>
      </c>
      <c r="I133" s="24">
        <f>IF(I3=0,0,(+I3*Catálogo!$K7))</f>
        <v>0</v>
      </c>
      <c r="J133" s="24">
        <f>IF(J3=0,0,(+J3*Catálogo!$K7))</f>
        <v>0</v>
      </c>
      <c r="K133" s="24">
        <f>IF(K3=0,0,(+K3*Catálogo!$K7))</f>
        <v>0</v>
      </c>
      <c r="L133" s="24">
        <f>IF(L3=0,0,(+L3*Catálogo!$K7))</f>
        <v>0</v>
      </c>
      <c r="M133" s="24">
        <f>IF(M3=0,0,(+M3*Catálogo!$K7))</f>
        <v>0</v>
      </c>
      <c r="N133" s="24">
        <f>IF(N3=0,0,(+N3*Catálogo!$K7))</f>
        <v>0</v>
      </c>
      <c r="O133" s="24">
        <f>IF(O3=0,0,(+O3*Catálogo!$K7))</f>
        <v>0</v>
      </c>
      <c r="P133" s="24">
        <f>IF(P3=0,0,(+P3*Catálogo!$K7))</f>
        <v>0</v>
      </c>
      <c r="Q133" s="24">
        <f>IF(Q3=0,0,(+Q3*Catálogo!$K7))</f>
        <v>0</v>
      </c>
      <c r="R133" s="24">
        <f>IF(R3=0,0,(+R3*Catálogo!$K7))</f>
        <v>0</v>
      </c>
      <c r="S133" s="25">
        <f>IF(S3=0,0,(+S3*Catálogo!$K26))</f>
        <v>0</v>
      </c>
      <c r="T133" s="25">
        <f>IF(T3=0,0,(+T3*Catálogo!$K26))</f>
        <v>0</v>
      </c>
      <c r="U133" s="25">
        <f>IF(U3=0,0,(+U3*Catálogo!$K26))</f>
        <v>0</v>
      </c>
      <c r="V133" s="25">
        <f>IF(V3=0,0,(+V3*Catálogo!$K26))</f>
        <v>0</v>
      </c>
      <c r="W133" s="25">
        <f>IF(W3=0,0,(+W3*Catálogo!$K26))</f>
        <v>0</v>
      </c>
      <c r="X133" s="25">
        <f>IF(X3=0,0,(+X3*Catálogo!$K26))</f>
        <v>0</v>
      </c>
      <c r="Y133" s="25">
        <f>IF(Y3=0,0,(+Y3*Catálogo!$K26))</f>
        <v>0</v>
      </c>
      <c r="Z133" s="25">
        <f>IF(Z3=0,0,(+Z3*Catálogo!$K26))</f>
        <v>0</v>
      </c>
      <c r="AA133" s="25">
        <f>IF(AA3=0,0,(+AA3*Catálogo!$K26))</f>
        <v>0</v>
      </c>
      <c r="AB133" s="25">
        <f>IF(AB3=0,0,(+AB3*Catálogo!$K26))</f>
        <v>0</v>
      </c>
      <c r="AC133" s="25">
        <f>IF(AC3=0,0,(+AC3*Catálogo!$K26))</f>
        <v>0</v>
      </c>
      <c r="AD133" s="25">
        <f>IF(AD3=0,0,(+AD3*Catálogo!$K26))</f>
        <v>0</v>
      </c>
      <c r="AE133" s="24">
        <f>IF(AE3=0,0,(+AE3*Catálogo!$K44))</f>
        <v>0</v>
      </c>
      <c r="AF133" s="24">
        <f>IF(AF3=0,0,(+AF3*Catálogo!$K44))</f>
        <v>0</v>
      </c>
      <c r="AG133" s="24">
        <f>IF(AG3=0,0,(+AG3*Catálogo!$K44))</f>
        <v>0</v>
      </c>
      <c r="AH133" s="24">
        <f>IF(AH3=0,0,(+AH3*Catálogo!$K44))</f>
        <v>0</v>
      </c>
      <c r="AI133" s="24">
        <f>IF(AI3=0,0,(+AI3*Catálogo!$K44))</f>
        <v>0</v>
      </c>
      <c r="AJ133" s="24">
        <f>IF(AJ3=0,0,(+AJ3*Catálogo!$K44))</f>
        <v>0</v>
      </c>
      <c r="AK133" s="24">
        <f>IF(AK3=0,0,(+AK3*Catálogo!$K44))</f>
        <v>0</v>
      </c>
      <c r="AL133" s="24">
        <f>IF(AL3=0,0,(+AL3*Catálogo!$K44))</f>
        <v>0</v>
      </c>
      <c r="AM133" s="24">
        <f>IF(AM3=0,0,(+AM3*Catálogo!$K44))</f>
        <v>0</v>
      </c>
      <c r="AN133" s="24">
        <f>IF(AN3=0,0,(+AN3*Catálogo!$K44))</f>
        <v>0</v>
      </c>
      <c r="AO133" s="24">
        <f>IF(AO3=0,0,(+AO3*Catálogo!$K44))</f>
        <v>0</v>
      </c>
      <c r="AP133" s="24">
        <f>IF(AP3=0,0,(+AP3*Catálogo!$K44))</f>
        <v>0</v>
      </c>
    </row>
    <row r="134" spans="1:42" hidden="1" outlineLevel="1">
      <c r="A134" s="31">
        <f t="shared" si="37"/>
        <v>0</v>
      </c>
      <c r="G134" s="24">
        <f>IF(G4=0,0,(+G4*Catálogo!$K8))</f>
        <v>0</v>
      </c>
      <c r="H134" s="24">
        <f>IF(H4=0,0,(+H4*Catálogo!$K8))</f>
        <v>0</v>
      </c>
      <c r="I134" s="24">
        <f>IF(I4=0,0,(+I4*Catálogo!$K8))</f>
        <v>0</v>
      </c>
      <c r="J134" s="24">
        <f>IF(J4=0,0,(+J4*Catálogo!$K8))</f>
        <v>0</v>
      </c>
      <c r="K134" s="24">
        <f>IF(K4=0,0,(+K4*Catálogo!$K8))</f>
        <v>0</v>
      </c>
      <c r="L134" s="24">
        <f>IF(L4=0,0,(+L4*Catálogo!$K8))</f>
        <v>0</v>
      </c>
      <c r="M134" s="24">
        <f>IF(M4=0,0,(+M4*Catálogo!$K8))</f>
        <v>0</v>
      </c>
      <c r="N134" s="24">
        <f>IF(N4=0,0,(+N4*Catálogo!$K8))</f>
        <v>0</v>
      </c>
      <c r="O134" s="24">
        <f>IF(O4=0,0,(+O4*Catálogo!$K8))</f>
        <v>0</v>
      </c>
      <c r="P134" s="24">
        <f>IF(P4=0,0,(+P4*Catálogo!$K8))</f>
        <v>0</v>
      </c>
      <c r="Q134" s="24">
        <f>IF(Q4=0,0,(+Q4*Catálogo!$K8))</f>
        <v>0</v>
      </c>
      <c r="R134" s="24">
        <f>IF(R4=0,0,(+R4*Catálogo!$K8))</f>
        <v>0</v>
      </c>
      <c r="S134" s="25">
        <f>IF(S4=0,0,(+S4*Catálogo!$K27))</f>
        <v>0</v>
      </c>
      <c r="T134" s="25">
        <f>IF(T4=0,0,(+T4*Catálogo!$K27))</f>
        <v>0</v>
      </c>
      <c r="U134" s="25">
        <f>IF(U4=0,0,(+U4*Catálogo!$K27))</f>
        <v>0</v>
      </c>
      <c r="V134" s="25">
        <f>IF(V4=0,0,(+V4*Catálogo!$K27))</f>
        <v>0</v>
      </c>
      <c r="W134" s="25">
        <f>IF(W4=0,0,(+W4*Catálogo!$K27))</f>
        <v>0</v>
      </c>
      <c r="X134" s="25">
        <f>IF(X4=0,0,(+X4*Catálogo!$K27))</f>
        <v>0</v>
      </c>
      <c r="Y134" s="25">
        <f>IF(Y4=0,0,(+Y4*Catálogo!$K27))</f>
        <v>0</v>
      </c>
      <c r="Z134" s="25">
        <f>IF(Z4=0,0,(+Z4*Catálogo!$K27))</f>
        <v>0</v>
      </c>
      <c r="AA134" s="25">
        <f>IF(AA4=0,0,(+AA4*Catálogo!$K27))</f>
        <v>0</v>
      </c>
      <c r="AB134" s="25">
        <f>IF(AB4=0,0,(+AB4*Catálogo!$K27))</f>
        <v>0</v>
      </c>
      <c r="AC134" s="25">
        <f>IF(AC4=0,0,(+AC4*Catálogo!$K27))</f>
        <v>0</v>
      </c>
      <c r="AD134" s="25">
        <f>IF(AD4=0,0,(+AD4*Catálogo!$K27))</f>
        <v>0</v>
      </c>
      <c r="AE134" s="24">
        <f>IF(AE4=0,0,(+AE4*Catálogo!$K45))</f>
        <v>0</v>
      </c>
      <c r="AF134" s="24">
        <f>IF(AF4=0,0,(+AF4*Catálogo!$K45))</f>
        <v>0</v>
      </c>
      <c r="AG134" s="24">
        <f>IF(AG4=0,0,(+AG4*Catálogo!$K45))</f>
        <v>0</v>
      </c>
      <c r="AH134" s="24">
        <f>IF(AH4=0,0,(+AH4*Catálogo!$K45))</f>
        <v>0</v>
      </c>
      <c r="AI134" s="24">
        <f>IF(AI4=0,0,(+AI4*Catálogo!$K45))</f>
        <v>0</v>
      </c>
      <c r="AJ134" s="24">
        <f>IF(AJ4=0,0,(+AJ4*Catálogo!$K45))</f>
        <v>0</v>
      </c>
      <c r="AK134" s="24">
        <f>IF(AK4=0,0,(+AK4*Catálogo!$K45))</f>
        <v>0</v>
      </c>
      <c r="AL134" s="24">
        <f>IF(AL4=0,0,(+AL4*Catálogo!$K45))</f>
        <v>0</v>
      </c>
      <c r="AM134" s="24">
        <f>IF(AM4=0,0,(+AM4*Catálogo!$K45))</f>
        <v>0</v>
      </c>
      <c r="AN134" s="24">
        <f>IF(AN4=0,0,(+AN4*Catálogo!$K45))</f>
        <v>0</v>
      </c>
      <c r="AO134" s="24">
        <f>IF(AO4=0,0,(+AO4*Catálogo!$K45))</f>
        <v>0</v>
      </c>
      <c r="AP134" s="24">
        <f>IF(AP4=0,0,(+AP4*Catálogo!$K45))</f>
        <v>0</v>
      </c>
    </row>
    <row r="135" spans="1:42" hidden="1" outlineLevel="1">
      <c r="A135" s="31">
        <f t="shared" si="37"/>
        <v>0</v>
      </c>
      <c r="G135" s="24">
        <f>IF(G5=0,0,(+G5*Catálogo!$K9))</f>
        <v>0</v>
      </c>
      <c r="H135" s="24">
        <f>IF(H5=0,0,(+H5*Catálogo!$K9))</f>
        <v>0</v>
      </c>
      <c r="I135" s="24">
        <f>IF(I5=0,0,(+I5*Catálogo!$K9))</f>
        <v>0</v>
      </c>
      <c r="J135" s="24">
        <f>IF(J5=0,0,(+J5*Catálogo!$K9))</f>
        <v>0</v>
      </c>
      <c r="K135" s="24">
        <f>IF(K5=0,0,(+K5*Catálogo!$K9))</f>
        <v>0</v>
      </c>
      <c r="L135" s="24">
        <f>IF(L5=0,0,(+L5*Catálogo!$K9))</f>
        <v>0</v>
      </c>
      <c r="M135" s="24">
        <f>IF(M5=0,0,(+M5*Catálogo!$K9))</f>
        <v>0</v>
      </c>
      <c r="N135" s="24">
        <f>IF(N5=0,0,(+N5*Catálogo!$K9))</f>
        <v>0</v>
      </c>
      <c r="O135" s="24">
        <f>IF(O5=0,0,(+O5*Catálogo!$K9))</f>
        <v>0</v>
      </c>
      <c r="P135" s="24">
        <f>IF(P5=0,0,(+P5*Catálogo!$K9))</f>
        <v>0</v>
      </c>
      <c r="Q135" s="24">
        <f>IF(Q5=0,0,(+Q5*Catálogo!$K9))</f>
        <v>0</v>
      </c>
      <c r="R135" s="24">
        <f>IF(R5=0,0,(+R5*Catálogo!$K9))</f>
        <v>0</v>
      </c>
      <c r="S135" s="25">
        <f>IF(S5=0,0,(+S5*Catálogo!$K28))</f>
        <v>0</v>
      </c>
      <c r="T135" s="25">
        <f>IF(T5=0,0,(+T5*Catálogo!$K28))</f>
        <v>0</v>
      </c>
      <c r="U135" s="25">
        <f>IF(U5=0,0,(+U5*Catálogo!$K28))</f>
        <v>0</v>
      </c>
      <c r="V135" s="25">
        <f>IF(V5=0,0,(+V5*Catálogo!$K28))</f>
        <v>0</v>
      </c>
      <c r="W135" s="25">
        <f>IF(W5=0,0,(+W5*Catálogo!$K28))</f>
        <v>0</v>
      </c>
      <c r="X135" s="25">
        <f>IF(X5=0,0,(+X5*Catálogo!$K28))</f>
        <v>0</v>
      </c>
      <c r="Y135" s="25">
        <f>IF(Y5=0,0,(+Y5*Catálogo!$K28))</f>
        <v>0</v>
      </c>
      <c r="Z135" s="25">
        <f>IF(Z5=0,0,(+Z5*Catálogo!$K28))</f>
        <v>0</v>
      </c>
      <c r="AA135" s="25">
        <f>IF(AA5=0,0,(+AA5*Catálogo!$K28))</f>
        <v>0</v>
      </c>
      <c r="AB135" s="25">
        <f>IF(AB5=0,0,(+AB5*Catálogo!$K28))</f>
        <v>0</v>
      </c>
      <c r="AC135" s="25">
        <f>IF(AC5=0,0,(+AC5*Catálogo!$K28))</f>
        <v>0</v>
      </c>
      <c r="AD135" s="25">
        <f>IF(AD5=0,0,(+AD5*Catálogo!$K28))</f>
        <v>0</v>
      </c>
      <c r="AE135" s="24">
        <f>IF(AE5=0,0,(+AE5*Catálogo!$K46))</f>
        <v>0</v>
      </c>
      <c r="AF135" s="24">
        <f>IF(AF5=0,0,(+AF5*Catálogo!$K46))</f>
        <v>0</v>
      </c>
      <c r="AG135" s="24">
        <f>IF(AG5=0,0,(+AG5*Catálogo!$K46))</f>
        <v>0</v>
      </c>
      <c r="AH135" s="24">
        <f>IF(AH5=0,0,(+AH5*Catálogo!$K46))</f>
        <v>0</v>
      </c>
      <c r="AI135" s="24">
        <f>IF(AI5=0,0,(+AI5*Catálogo!$K46))</f>
        <v>0</v>
      </c>
      <c r="AJ135" s="24">
        <f>IF(AJ5=0,0,(+AJ5*Catálogo!$K46))</f>
        <v>0</v>
      </c>
      <c r="AK135" s="24">
        <f>IF(AK5=0,0,(+AK5*Catálogo!$K46))</f>
        <v>0</v>
      </c>
      <c r="AL135" s="24">
        <f>IF(AL5=0,0,(+AL5*Catálogo!$K46))</f>
        <v>0</v>
      </c>
      <c r="AM135" s="24">
        <f>IF(AM5=0,0,(+AM5*Catálogo!$K46))</f>
        <v>0</v>
      </c>
      <c r="AN135" s="24">
        <f>IF(AN5=0,0,(+AN5*Catálogo!$K46))</f>
        <v>0</v>
      </c>
      <c r="AO135" s="24">
        <f>IF(AO5=0,0,(+AO5*Catálogo!$K46))</f>
        <v>0</v>
      </c>
      <c r="AP135" s="24">
        <f>IF(AP5=0,0,(+AP5*Catálogo!$K46))</f>
        <v>0</v>
      </c>
    </row>
    <row r="136" spans="1:42" hidden="1" outlineLevel="1">
      <c r="A136" s="31">
        <f t="shared" si="37"/>
        <v>0</v>
      </c>
      <c r="G136" s="24">
        <f>IF(G6=0,0,(+G6*Catálogo!$K10))</f>
        <v>0</v>
      </c>
      <c r="H136" s="24">
        <f>IF(H6=0,0,(+H6*Catálogo!$K10))</f>
        <v>0</v>
      </c>
      <c r="I136" s="24">
        <f>IF(I6=0,0,(+I6*Catálogo!$K10))</f>
        <v>0</v>
      </c>
      <c r="J136" s="24">
        <f>IF(J6=0,0,(+J6*Catálogo!$K10))</f>
        <v>0</v>
      </c>
      <c r="K136" s="24">
        <f>IF(K6=0,0,(+K6*Catálogo!$K10))</f>
        <v>0</v>
      </c>
      <c r="L136" s="24">
        <f>IF(L6=0,0,(+L6*Catálogo!$K10))</f>
        <v>0</v>
      </c>
      <c r="M136" s="24">
        <f>IF(M6=0,0,(+M6*Catálogo!$K10))</f>
        <v>0</v>
      </c>
      <c r="N136" s="24">
        <f>IF(N6=0,0,(+N6*Catálogo!$K10))</f>
        <v>0</v>
      </c>
      <c r="O136" s="24">
        <f>IF(O6=0,0,(+O6*Catálogo!$K10))</f>
        <v>0</v>
      </c>
      <c r="P136" s="24">
        <f>IF(P6=0,0,(+P6*Catálogo!$K10))</f>
        <v>0</v>
      </c>
      <c r="Q136" s="24">
        <f>IF(Q6=0,0,(+Q6*Catálogo!$K10))</f>
        <v>0</v>
      </c>
      <c r="R136" s="24">
        <f>IF(R6=0,0,(+R6*Catálogo!$K10))</f>
        <v>0</v>
      </c>
      <c r="S136" s="25">
        <f>IF(S6=0,0,(+S6*Catálogo!$K29))</f>
        <v>0</v>
      </c>
      <c r="T136" s="25">
        <f>IF(T6=0,0,(+T6*Catálogo!$K29))</f>
        <v>0</v>
      </c>
      <c r="U136" s="25">
        <f>IF(U6=0,0,(+U6*Catálogo!$K29))</f>
        <v>0</v>
      </c>
      <c r="V136" s="25">
        <f>IF(V6=0,0,(+V6*Catálogo!$K29))</f>
        <v>0</v>
      </c>
      <c r="W136" s="25">
        <f>IF(W6=0,0,(+W6*Catálogo!$K29))</f>
        <v>0</v>
      </c>
      <c r="X136" s="25">
        <f>IF(X6=0,0,(+X6*Catálogo!$K29))</f>
        <v>0</v>
      </c>
      <c r="Y136" s="25">
        <f>IF(Y6=0,0,(+Y6*Catálogo!$K29))</f>
        <v>0</v>
      </c>
      <c r="Z136" s="25">
        <f>IF(Z6=0,0,(+Z6*Catálogo!$K29))</f>
        <v>0</v>
      </c>
      <c r="AA136" s="25">
        <f>IF(AA6=0,0,(+AA6*Catálogo!$K29))</f>
        <v>0</v>
      </c>
      <c r="AB136" s="25">
        <f>IF(AB6=0,0,(+AB6*Catálogo!$K29))</f>
        <v>0</v>
      </c>
      <c r="AC136" s="25">
        <f>IF(AC6=0,0,(+AC6*Catálogo!$K29))</f>
        <v>0</v>
      </c>
      <c r="AD136" s="25">
        <f>IF(AD6=0,0,(+AD6*Catálogo!$K29))</f>
        <v>0</v>
      </c>
      <c r="AE136" s="24">
        <f>IF(AE6=0,0,(+AE6*Catálogo!$K47))</f>
        <v>0</v>
      </c>
      <c r="AF136" s="24">
        <f>IF(AF6=0,0,(+AF6*Catálogo!$K47))</f>
        <v>0</v>
      </c>
      <c r="AG136" s="24">
        <f>IF(AG6=0,0,(+AG6*Catálogo!$K47))</f>
        <v>0</v>
      </c>
      <c r="AH136" s="24">
        <f>IF(AH6=0,0,(+AH6*Catálogo!$K47))</f>
        <v>0</v>
      </c>
      <c r="AI136" s="24">
        <f>IF(AI6=0,0,(+AI6*Catálogo!$K47))</f>
        <v>0</v>
      </c>
      <c r="AJ136" s="24">
        <f>IF(AJ6=0,0,(+AJ6*Catálogo!$K47))</f>
        <v>0</v>
      </c>
      <c r="AK136" s="24">
        <f>IF(AK6=0,0,(+AK6*Catálogo!$K47))</f>
        <v>0</v>
      </c>
      <c r="AL136" s="24">
        <f>IF(AL6=0,0,(+AL6*Catálogo!$K47))</f>
        <v>0</v>
      </c>
      <c r="AM136" s="24">
        <f>IF(AM6=0,0,(+AM6*Catálogo!$K47))</f>
        <v>0</v>
      </c>
      <c r="AN136" s="24">
        <f>IF(AN6=0,0,(+AN6*Catálogo!$K47))</f>
        <v>0</v>
      </c>
      <c r="AO136" s="24">
        <f>IF(AO6=0,0,(+AO6*Catálogo!$K47))</f>
        <v>0</v>
      </c>
      <c r="AP136" s="24">
        <f>IF(AP6=0,0,(+AP6*Catálogo!$K47))</f>
        <v>0</v>
      </c>
    </row>
    <row r="137" spans="1:42" hidden="1" outlineLevel="1">
      <c r="A137" s="31">
        <f t="shared" si="37"/>
        <v>0</v>
      </c>
      <c r="G137" s="24">
        <f>IF(G7=0,0,(+G7*Catálogo!$K11))</f>
        <v>0</v>
      </c>
      <c r="H137" s="24">
        <f>IF(H7=0,0,(+H7*Catálogo!$K11))</f>
        <v>0</v>
      </c>
      <c r="I137" s="24">
        <f>IF(I7=0,0,(+I7*Catálogo!$K11))</f>
        <v>0</v>
      </c>
      <c r="J137" s="24">
        <f>IF(J7=0,0,(+J7*Catálogo!$K11))</f>
        <v>0</v>
      </c>
      <c r="K137" s="24">
        <f>IF(K7=0,0,(+K7*Catálogo!$K11))</f>
        <v>0</v>
      </c>
      <c r="L137" s="24">
        <f>IF(L7=0,0,(+L7*Catálogo!$K11))</f>
        <v>0</v>
      </c>
      <c r="M137" s="24">
        <f>IF(M7=0,0,(+M7*Catálogo!$K11))</f>
        <v>0</v>
      </c>
      <c r="N137" s="24">
        <f>IF(N7=0,0,(+N7*Catálogo!$K11))</f>
        <v>0</v>
      </c>
      <c r="O137" s="24">
        <f>IF(O7=0,0,(+O7*Catálogo!$K11))</f>
        <v>0</v>
      </c>
      <c r="P137" s="24">
        <f>IF(P7=0,0,(+P7*Catálogo!$K11))</f>
        <v>0</v>
      </c>
      <c r="Q137" s="24">
        <f>IF(Q7=0,0,(+Q7*Catálogo!$K11))</f>
        <v>0</v>
      </c>
      <c r="R137" s="24">
        <f>IF(R7=0,0,(+R7*Catálogo!$K11))</f>
        <v>0</v>
      </c>
      <c r="S137" s="25">
        <f>IF(S7=0,0,(+S7*Catálogo!$K30))</f>
        <v>0</v>
      </c>
      <c r="T137" s="25">
        <f>IF(T7=0,0,(+T7*Catálogo!$K30))</f>
        <v>0</v>
      </c>
      <c r="U137" s="25">
        <f>IF(U7=0,0,(+U7*Catálogo!$K30))</f>
        <v>0</v>
      </c>
      <c r="V137" s="25">
        <f>IF(V7=0,0,(+V7*Catálogo!$K30))</f>
        <v>0</v>
      </c>
      <c r="W137" s="25">
        <f>IF(W7=0,0,(+W7*Catálogo!$K30))</f>
        <v>0</v>
      </c>
      <c r="X137" s="25">
        <f>IF(X7=0,0,(+X7*Catálogo!$K30))</f>
        <v>0</v>
      </c>
      <c r="Y137" s="25">
        <f>IF(Y7=0,0,(+Y7*Catálogo!$K30))</f>
        <v>0</v>
      </c>
      <c r="Z137" s="25">
        <f>IF(Z7=0,0,(+Z7*Catálogo!$K30))</f>
        <v>0</v>
      </c>
      <c r="AA137" s="25">
        <f>IF(AA7=0,0,(+AA7*Catálogo!$K30))</f>
        <v>0</v>
      </c>
      <c r="AB137" s="25">
        <f>IF(AB7=0,0,(+AB7*Catálogo!$K30))</f>
        <v>0</v>
      </c>
      <c r="AC137" s="25">
        <f>IF(AC7=0,0,(+AC7*Catálogo!$K30))</f>
        <v>0</v>
      </c>
      <c r="AD137" s="25">
        <f>IF(AD7=0,0,(+AD7*Catálogo!$K30))</f>
        <v>0</v>
      </c>
      <c r="AE137" s="24">
        <f>IF(AE7=0,0,(+AE7*Catálogo!$K48))</f>
        <v>0</v>
      </c>
      <c r="AF137" s="24">
        <f>IF(AF7=0,0,(+AF7*Catálogo!$K48))</f>
        <v>0</v>
      </c>
      <c r="AG137" s="24">
        <f>IF(AG7=0,0,(+AG7*Catálogo!$K48))</f>
        <v>0</v>
      </c>
      <c r="AH137" s="24">
        <f>IF(AH7=0,0,(+AH7*Catálogo!$K48))</f>
        <v>0</v>
      </c>
      <c r="AI137" s="24">
        <f>IF(AI7=0,0,(+AI7*Catálogo!$K48))</f>
        <v>0</v>
      </c>
      <c r="AJ137" s="24">
        <f>IF(AJ7=0,0,(+AJ7*Catálogo!$K48))</f>
        <v>0</v>
      </c>
      <c r="AK137" s="24">
        <f>IF(AK7=0,0,(+AK7*Catálogo!$K48))</f>
        <v>0</v>
      </c>
      <c r="AL137" s="24">
        <f>IF(AL7=0,0,(+AL7*Catálogo!$K48))</f>
        <v>0</v>
      </c>
      <c r="AM137" s="24">
        <f>IF(AM7=0,0,(+AM7*Catálogo!$K48))</f>
        <v>0</v>
      </c>
      <c r="AN137" s="24">
        <f>IF(AN7=0,0,(+AN7*Catálogo!$K48))</f>
        <v>0</v>
      </c>
      <c r="AO137" s="24">
        <f>IF(AO7=0,0,(+AO7*Catálogo!$K48))</f>
        <v>0</v>
      </c>
      <c r="AP137" s="24">
        <f>IF(AP7=0,0,(+AP7*Catálogo!$K48))</f>
        <v>0</v>
      </c>
    </row>
    <row r="138" spans="1:42" hidden="1" outlineLevel="1">
      <c r="A138" s="31">
        <f t="shared" si="37"/>
        <v>0</v>
      </c>
      <c r="G138" s="24">
        <f>IF(G8=0,0,(+G8*Catálogo!$K12))</f>
        <v>0</v>
      </c>
      <c r="H138" s="24">
        <f>IF(H8=0,0,(+H8*Catálogo!$K12))</f>
        <v>0</v>
      </c>
      <c r="I138" s="24">
        <f>IF(I8=0,0,(+I8*Catálogo!$K12))</f>
        <v>0</v>
      </c>
      <c r="J138" s="24">
        <f>IF(J8=0,0,(+J8*Catálogo!$K12))</f>
        <v>0</v>
      </c>
      <c r="K138" s="24">
        <f>IF(K8=0,0,(+K8*Catálogo!$K12))</f>
        <v>0</v>
      </c>
      <c r="L138" s="24">
        <f>IF(L8=0,0,(+L8*Catálogo!$K12))</f>
        <v>0</v>
      </c>
      <c r="M138" s="24">
        <f>IF(M8=0,0,(+M8*Catálogo!$K12))</f>
        <v>0</v>
      </c>
      <c r="N138" s="24">
        <f>IF(N8=0,0,(+N8*Catálogo!$K12))</f>
        <v>0</v>
      </c>
      <c r="O138" s="24">
        <f>IF(O8=0,0,(+O8*Catálogo!$K12))</f>
        <v>0</v>
      </c>
      <c r="P138" s="24">
        <f>IF(P8=0,0,(+P8*Catálogo!$K12))</f>
        <v>0</v>
      </c>
      <c r="Q138" s="24">
        <f>IF(Q8=0,0,(+Q8*Catálogo!$K12))</f>
        <v>0</v>
      </c>
      <c r="R138" s="24">
        <f>IF(R8=0,0,(+R8*Catálogo!$K12))</f>
        <v>0</v>
      </c>
      <c r="S138" s="25">
        <f>IF(S8=0,0,(+S8*Catálogo!$K31))</f>
        <v>0</v>
      </c>
      <c r="T138" s="25">
        <f>IF(T8=0,0,(+T8*Catálogo!$K31))</f>
        <v>0</v>
      </c>
      <c r="U138" s="25">
        <f>IF(U8=0,0,(+U8*Catálogo!$K31))</f>
        <v>0</v>
      </c>
      <c r="V138" s="25">
        <f>IF(V8=0,0,(+V8*Catálogo!$K31))</f>
        <v>0</v>
      </c>
      <c r="W138" s="25">
        <f>IF(W8=0,0,(+W8*Catálogo!$K31))</f>
        <v>0</v>
      </c>
      <c r="X138" s="25">
        <f>IF(X8=0,0,(+X8*Catálogo!$K31))</f>
        <v>0</v>
      </c>
      <c r="Y138" s="25">
        <f>IF(Y8=0,0,(+Y8*Catálogo!$K31))</f>
        <v>0</v>
      </c>
      <c r="Z138" s="25">
        <f>IF(Z8=0,0,(+Z8*Catálogo!$K31))</f>
        <v>0</v>
      </c>
      <c r="AA138" s="25">
        <f>IF(AA8=0,0,(+AA8*Catálogo!$K31))</f>
        <v>0</v>
      </c>
      <c r="AB138" s="25">
        <f>IF(AB8=0,0,(+AB8*Catálogo!$K31))</f>
        <v>0</v>
      </c>
      <c r="AC138" s="25">
        <f>IF(AC8=0,0,(+AC8*Catálogo!$K31))</f>
        <v>0</v>
      </c>
      <c r="AD138" s="25">
        <f>IF(AD8=0,0,(+AD8*Catálogo!$K31))</f>
        <v>0</v>
      </c>
      <c r="AE138" s="24">
        <f>IF(AE8=0,0,(+AE8*Catálogo!$K49))</f>
        <v>0</v>
      </c>
      <c r="AF138" s="24">
        <f>IF(AF8=0,0,(+AF8*Catálogo!$K49))</f>
        <v>0</v>
      </c>
      <c r="AG138" s="24">
        <f>IF(AG8=0,0,(+AG8*Catálogo!$K49))</f>
        <v>0</v>
      </c>
      <c r="AH138" s="24">
        <f>IF(AH8=0,0,(+AH8*Catálogo!$K49))</f>
        <v>0</v>
      </c>
      <c r="AI138" s="24">
        <f>IF(AI8=0,0,(+AI8*Catálogo!$K49))</f>
        <v>0</v>
      </c>
      <c r="AJ138" s="24">
        <f>IF(AJ8=0,0,(+AJ8*Catálogo!$K49))</f>
        <v>0</v>
      </c>
      <c r="AK138" s="24">
        <f>IF(AK8=0,0,(+AK8*Catálogo!$K49))</f>
        <v>0</v>
      </c>
      <c r="AL138" s="24">
        <f>IF(AL8=0,0,(+AL8*Catálogo!$K49))</f>
        <v>0</v>
      </c>
      <c r="AM138" s="24">
        <f>IF(AM8=0,0,(+AM8*Catálogo!$K49))</f>
        <v>0</v>
      </c>
      <c r="AN138" s="24">
        <f>IF(AN8=0,0,(+AN8*Catálogo!$K49))</f>
        <v>0</v>
      </c>
      <c r="AO138" s="24">
        <f>IF(AO8=0,0,(+AO8*Catálogo!$K49))</f>
        <v>0</v>
      </c>
      <c r="AP138" s="24">
        <f>IF(AP8=0,0,(+AP8*Catálogo!$K49))</f>
        <v>0</v>
      </c>
    </row>
    <row r="139" spans="1:42" hidden="1" outlineLevel="1">
      <c r="A139" s="31">
        <f t="shared" si="37"/>
        <v>0</v>
      </c>
      <c r="G139" s="24">
        <f>IF(G9=0,0,(+G9*Catálogo!$K13))</f>
        <v>0</v>
      </c>
      <c r="H139" s="24">
        <f>IF(H9=0,0,(+H9*Catálogo!$K13))</f>
        <v>0</v>
      </c>
      <c r="I139" s="24">
        <f>IF(I9=0,0,(+I9*Catálogo!$K13))</f>
        <v>0</v>
      </c>
      <c r="J139" s="24">
        <f>IF(J9=0,0,(+J9*Catálogo!$K13))</f>
        <v>0</v>
      </c>
      <c r="K139" s="24">
        <f>IF(K9=0,0,(+K9*Catálogo!$K13))</f>
        <v>0</v>
      </c>
      <c r="L139" s="24">
        <f>IF(L9=0,0,(+L9*Catálogo!$K13))</f>
        <v>0</v>
      </c>
      <c r="M139" s="24">
        <f>IF(M9=0,0,(+M9*Catálogo!$K13))</f>
        <v>0</v>
      </c>
      <c r="N139" s="24">
        <f>IF(N9=0,0,(+N9*Catálogo!$K13))</f>
        <v>0</v>
      </c>
      <c r="O139" s="24">
        <f>IF(O9=0,0,(+O9*Catálogo!$K13))</f>
        <v>0</v>
      </c>
      <c r="P139" s="24">
        <f>IF(P9=0,0,(+P9*Catálogo!$K13))</f>
        <v>0</v>
      </c>
      <c r="Q139" s="24">
        <f>IF(Q9=0,0,(+Q9*Catálogo!$K13))</f>
        <v>0</v>
      </c>
      <c r="R139" s="24">
        <f>IF(R9=0,0,(+R9*Catálogo!$K13))</f>
        <v>0</v>
      </c>
      <c r="S139" s="25">
        <f>IF(S9=0,0,(+S9*Catálogo!$K32))</f>
        <v>0</v>
      </c>
      <c r="T139" s="25">
        <f>IF(T9=0,0,(+T9*Catálogo!$K32))</f>
        <v>0</v>
      </c>
      <c r="U139" s="25">
        <f>IF(U9=0,0,(+U9*Catálogo!$K32))</f>
        <v>0</v>
      </c>
      <c r="V139" s="25">
        <f>IF(V9=0,0,(+V9*Catálogo!$K32))</f>
        <v>0</v>
      </c>
      <c r="W139" s="25">
        <f>IF(W9=0,0,(+W9*Catálogo!$K32))</f>
        <v>0</v>
      </c>
      <c r="X139" s="25">
        <f>IF(X9=0,0,(+X9*Catálogo!$K32))</f>
        <v>0</v>
      </c>
      <c r="Y139" s="25">
        <f>IF(Y9=0,0,(+Y9*Catálogo!$K32))</f>
        <v>0</v>
      </c>
      <c r="Z139" s="25">
        <f>IF(Z9=0,0,(+Z9*Catálogo!$K32))</f>
        <v>0</v>
      </c>
      <c r="AA139" s="25">
        <f>IF(AA9=0,0,(+AA9*Catálogo!$K32))</f>
        <v>0</v>
      </c>
      <c r="AB139" s="25">
        <f>IF(AB9=0,0,(+AB9*Catálogo!$K32))</f>
        <v>0</v>
      </c>
      <c r="AC139" s="25">
        <f>IF(AC9=0,0,(+AC9*Catálogo!$K32))</f>
        <v>0</v>
      </c>
      <c r="AD139" s="25">
        <f>IF(AD9=0,0,(+AD9*Catálogo!$K32))</f>
        <v>0</v>
      </c>
      <c r="AE139" s="24">
        <f>IF(AE9=0,0,(+AE9*Catálogo!$K50))</f>
        <v>0</v>
      </c>
      <c r="AF139" s="24">
        <f>IF(AF9=0,0,(+AF9*Catálogo!$K50))</f>
        <v>0</v>
      </c>
      <c r="AG139" s="24">
        <f>IF(AG9=0,0,(+AG9*Catálogo!$K50))</f>
        <v>0</v>
      </c>
      <c r="AH139" s="24">
        <f>IF(AH9=0,0,(+AH9*Catálogo!$K50))</f>
        <v>0</v>
      </c>
      <c r="AI139" s="24">
        <f>IF(AI9=0,0,(+AI9*Catálogo!$K50))</f>
        <v>0</v>
      </c>
      <c r="AJ139" s="24">
        <f>IF(AJ9=0,0,(+AJ9*Catálogo!$K50))</f>
        <v>0</v>
      </c>
      <c r="AK139" s="24">
        <f>IF(AK9=0,0,(+AK9*Catálogo!$K50))</f>
        <v>0</v>
      </c>
      <c r="AL139" s="24">
        <f>IF(AL9=0,0,(+AL9*Catálogo!$K50))</f>
        <v>0</v>
      </c>
      <c r="AM139" s="24">
        <f>IF(AM9=0,0,(+AM9*Catálogo!$K50))</f>
        <v>0</v>
      </c>
      <c r="AN139" s="24">
        <f>IF(AN9=0,0,(+AN9*Catálogo!$K50))</f>
        <v>0</v>
      </c>
      <c r="AO139" s="24">
        <f>IF(AO9=0,0,(+AO9*Catálogo!$K50))</f>
        <v>0</v>
      </c>
      <c r="AP139" s="24">
        <f>IF(AP9=0,0,(+AP9*Catálogo!$K50))</f>
        <v>0</v>
      </c>
    </row>
    <row r="140" spans="1:42" hidden="1" outlineLevel="1">
      <c r="A140" s="31">
        <f t="shared" si="37"/>
        <v>0</v>
      </c>
      <c r="G140" s="24">
        <f>IF(G10=0,0,(+G10*Catálogo!$K14))</f>
        <v>0</v>
      </c>
      <c r="H140" s="24">
        <f>IF(H10=0,0,(+H10*Catálogo!$K14))</f>
        <v>0</v>
      </c>
      <c r="I140" s="24">
        <f>IF(I10=0,0,(+I10*Catálogo!$K14))</f>
        <v>0</v>
      </c>
      <c r="J140" s="24">
        <f>IF(J10=0,0,(+J10*Catálogo!$K14))</f>
        <v>0</v>
      </c>
      <c r="K140" s="24">
        <f>IF(K10=0,0,(+K10*Catálogo!$K14))</f>
        <v>0</v>
      </c>
      <c r="L140" s="24">
        <f>IF(L10=0,0,(+L10*Catálogo!$K14))</f>
        <v>0</v>
      </c>
      <c r="M140" s="24">
        <f>IF(M10=0,0,(+M10*Catálogo!$K14))</f>
        <v>0</v>
      </c>
      <c r="N140" s="24">
        <f>IF(N10=0,0,(+N10*Catálogo!$K14))</f>
        <v>0</v>
      </c>
      <c r="O140" s="24">
        <f>IF(O10=0,0,(+O10*Catálogo!$K14))</f>
        <v>0</v>
      </c>
      <c r="P140" s="24">
        <f>IF(P10=0,0,(+P10*Catálogo!$K14))</f>
        <v>0</v>
      </c>
      <c r="Q140" s="24">
        <f>IF(Q10=0,0,(+Q10*Catálogo!$K14))</f>
        <v>0</v>
      </c>
      <c r="R140" s="24">
        <f>IF(R10=0,0,(+R10*Catálogo!$K14))</f>
        <v>0</v>
      </c>
      <c r="S140" s="25">
        <f>IF(S10=0,0,(+S10*Catálogo!$K33))</f>
        <v>0</v>
      </c>
      <c r="T140" s="25">
        <f>IF(T10=0,0,(+T10*Catálogo!$K33))</f>
        <v>0</v>
      </c>
      <c r="U140" s="25">
        <f>IF(U10=0,0,(+U10*Catálogo!$K33))</f>
        <v>0</v>
      </c>
      <c r="V140" s="25">
        <f>IF(V10=0,0,(+V10*Catálogo!$K33))</f>
        <v>0</v>
      </c>
      <c r="W140" s="25">
        <f>IF(W10=0,0,(+W10*Catálogo!$K33))</f>
        <v>0</v>
      </c>
      <c r="X140" s="25">
        <f>IF(X10=0,0,(+X10*Catálogo!$K33))</f>
        <v>0</v>
      </c>
      <c r="Y140" s="25">
        <f>IF(Y10=0,0,(+Y10*Catálogo!$K33))</f>
        <v>0</v>
      </c>
      <c r="Z140" s="25">
        <f>IF(Z10=0,0,(+Z10*Catálogo!$K33))</f>
        <v>0</v>
      </c>
      <c r="AA140" s="25">
        <f>IF(AA10=0,0,(+AA10*Catálogo!$K33))</f>
        <v>0</v>
      </c>
      <c r="AB140" s="25">
        <f>IF(AB10=0,0,(+AB10*Catálogo!$K33))</f>
        <v>0</v>
      </c>
      <c r="AC140" s="25">
        <f>IF(AC10=0,0,(+AC10*Catálogo!$K33))</f>
        <v>0</v>
      </c>
      <c r="AD140" s="25">
        <f>IF(AD10=0,0,(+AD10*Catálogo!$K33))</f>
        <v>0</v>
      </c>
      <c r="AE140" s="24">
        <f>IF(AE10=0,0,(+AE10*Catálogo!$K51))</f>
        <v>0</v>
      </c>
      <c r="AF140" s="24">
        <f>IF(AF10=0,0,(+AF10*Catálogo!$K51))</f>
        <v>0</v>
      </c>
      <c r="AG140" s="24">
        <f>IF(AG10=0,0,(+AG10*Catálogo!$K51))</f>
        <v>0</v>
      </c>
      <c r="AH140" s="24">
        <f>IF(AH10=0,0,(+AH10*Catálogo!$K51))</f>
        <v>0</v>
      </c>
      <c r="AI140" s="24">
        <f>IF(AI10=0,0,(+AI10*Catálogo!$K51))</f>
        <v>0</v>
      </c>
      <c r="AJ140" s="24">
        <f>IF(AJ10=0,0,(+AJ10*Catálogo!$K51))</f>
        <v>0</v>
      </c>
      <c r="AK140" s="24">
        <f>IF(AK10=0,0,(+AK10*Catálogo!$K51))</f>
        <v>0</v>
      </c>
      <c r="AL140" s="24">
        <f>IF(AL10=0,0,(+AL10*Catálogo!$K51))</f>
        <v>0</v>
      </c>
      <c r="AM140" s="24">
        <f>IF(AM10=0,0,(+AM10*Catálogo!$K51))</f>
        <v>0</v>
      </c>
      <c r="AN140" s="24">
        <f>IF(AN10=0,0,(+AN10*Catálogo!$K51))</f>
        <v>0</v>
      </c>
      <c r="AO140" s="24">
        <f>IF(AO10=0,0,(+AO10*Catálogo!$K51))</f>
        <v>0</v>
      </c>
      <c r="AP140" s="24">
        <f>IF(AP10=0,0,(+AP10*Catálogo!$K51))</f>
        <v>0</v>
      </c>
    </row>
    <row r="141" spans="1:42" hidden="1" outlineLevel="1">
      <c r="A141" s="31">
        <f t="shared" si="37"/>
        <v>0</v>
      </c>
      <c r="G141" s="24">
        <f>IF(G11=0,0,(+G11*Catálogo!$K15))</f>
        <v>0</v>
      </c>
      <c r="H141" s="24">
        <f>IF(H11=0,0,(+H11*Catálogo!$K15))</f>
        <v>0</v>
      </c>
      <c r="I141" s="24">
        <f>IF(I11=0,0,(+I11*Catálogo!$K15))</f>
        <v>0</v>
      </c>
      <c r="J141" s="24">
        <f>IF(J11=0,0,(+J11*Catálogo!$K15))</f>
        <v>0</v>
      </c>
      <c r="K141" s="24">
        <f>IF(K11=0,0,(+K11*Catálogo!$K15))</f>
        <v>0</v>
      </c>
      <c r="L141" s="24">
        <f>IF(L11=0,0,(+L11*Catálogo!$K15))</f>
        <v>0</v>
      </c>
      <c r="M141" s="24">
        <f>IF(M11=0,0,(+M11*Catálogo!$K15))</f>
        <v>0</v>
      </c>
      <c r="N141" s="24">
        <f>IF(N11=0,0,(+N11*Catálogo!$K15))</f>
        <v>0</v>
      </c>
      <c r="O141" s="24">
        <f>IF(O11=0,0,(+O11*Catálogo!$K15))</f>
        <v>0</v>
      </c>
      <c r="P141" s="24">
        <f>IF(P11=0,0,(+P11*Catálogo!$K15))</f>
        <v>0</v>
      </c>
      <c r="Q141" s="24">
        <f>IF(Q11=0,0,(+Q11*Catálogo!$K15))</f>
        <v>0</v>
      </c>
      <c r="R141" s="24">
        <f>IF(R11=0,0,(+R11*Catálogo!$K15))</f>
        <v>0</v>
      </c>
      <c r="S141" s="25">
        <f>IF(S11=0,0,(+S11*Catálogo!$K34))</f>
        <v>0</v>
      </c>
      <c r="T141" s="25">
        <f>IF(T11=0,0,(+T11*Catálogo!$K34))</f>
        <v>0</v>
      </c>
      <c r="U141" s="25">
        <f>IF(U11=0,0,(+U11*Catálogo!$K34))</f>
        <v>0</v>
      </c>
      <c r="V141" s="25">
        <f>IF(V11=0,0,(+V11*Catálogo!$K34))</f>
        <v>0</v>
      </c>
      <c r="W141" s="25">
        <f>IF(W11=0,0,(+W11*Catálogo!$K34))</f>
        <v>0</v>
      </c>
      <c r="X141" s="25">
        <f>IF(X11=0,0,(+X11*Catálogo!$K34))</f>
        <v>0</v>
      </c>
      <c r="Y141" s="25">
        <f>IF(Y11=0,0,(+Y11*Catálogo!$K34))</f>
        <v>0</v>
      </c>
      <c r="Z141" s="25">
        <f>IF(Z11=0,0,(+Z11*Catálogo!$K34))</f>
        <v>0</v>
      </c>
      <c r="AA141" s="25">
        <f>IF(AA11=0,0,(+AA11*Catálogo!$K34))</f>
        <v>0</v>
      </c>
      <c r="AB141" s="25">
        <f>IF(AB11=0,0,(+AB11*Catálogo!$K34))</f>
        <v>0</v>
      </c>
      <c r="AC141" s="25">
        <f>IF(AC11=0,0,(+AC11*Catálogo!$K34))</f>
        <v>0</v>
      </c>
      <c r="AD141" s="25">
        <f>IF(AD11=0,0,(+AD11*Catálogo!$K34))</f>
        <v>0</v>
      </c>
      <c r="AE141" s="24">
        <f>IF(AE11=0,0,(+AE11*Catálogo!$K52))</f>
        <v>0</v>
      </c>
      <c r="AF141" s="24">
        <f>IF(AF11=0,0,(+AF11*Catálogo!$K52))</f>
        <v>0</v>
      </c>
      <c r="AG141" s="24">
        <f>IF(AG11=0,0,(+AG11*Catálogo!$K52))</f>
        <v>0</v>
      </c>
      <c r="AH141" s="24">
        <f>IF(AH11=0,0,(+AH11*Catálogo!$K52))</f>
        <v>0</v>
      </c>
      <c r="AI141" s="24">
        <f>IF(AI11=0,0,(+AI11*Catálogo!$K52))</f>
        <v>0</v>
      </c>
      <c r="AJ141" s="24">
        <f>IF(AJ11=0,0,(+AJ11*Catálogo!$K52))</f>
        <v>0</v>
      </c>
      <c r="AK141" s="24">
        <f>IF(AK11=0,0,(+AK11*Catálogo!$K52))</f>
        <v>0</v>
      </c>
      <c r="AL141" s="24">
        <f>IF(AL11=0,0,(+AL11*Catálogo!$K52))</f>
        <v>0</v>
      </c>
      <c r="AM141" s="24">
        <f>IF(AM11=0,0,(+AM11*Catálogo!$K52))</f>
        <v>0</v>
      </c>
      <c r="AN141" s="24">
        <f>IF(AN11=0,0,(+AN11*Catálogo!$K52))</f>
        <v>0</v>
      </c>
      <c r="AO141" s="24">
        <f>IF(AO11=0,0,(+AO11*Catálogo!$K52))</f>
        <v>0</v>
      </c>
      <c r="AP141" s="24">
        <f>IF(AP11=0,0,(+AP11*Catálogo!$K52))</f>
        <v>0</v>
      </c>
    </row>
    <row r="142" spans="1:42" hidden="1" outlineLevel="1">
      <c r="A142" s="31">
        <f t="shared" si="37"/>
        <v>0</v>
      </c>
      <c r="G142" s="24">
        <f>IF(G12=0,0,(+G12*Catálogo!$K16))</f>
        <v>0</v>
      </c>
      <c r="H142" s="24">
        <f>IF(H12=0,0,(+H12*Catálogo!$K16))</f>
        <v>0</v>
      </c>
      <c r="I142" s="24">
        <f>IF(I12=0,0,(+I12*Catálogo!$K16))</f>
        <v>0</v>
      </c>
      <c r="J142" s="24">
        <f>IF(J12=0,0,(+J12*Catálogo!$K16))</f>
        <v>0</v>
      </c>
      <c r="K142" s="24">
        <f>IF(K12=0,0,(+K12*Catálogo!$K16))</f>
        <v>0</v>
      </c>
      <c r="L142" s="24">
        <f>IF(L12=0,0,(+L12*Catálogo!$K16))</f>
        <v>0</v>
      </c>
      <c r="M142" s="24">
        <f>IF(M12=0,0,(+M12*Catálogo!$K16))</f>
        <v>0</v>
      </c>
      <c r="N142" s="24">
        <f>IF(N12=0,0,(+N12*Catálogo!$K16))</f>
        <v>0</v>
      </c>
      <c r="O142" s="24">
        <f>IF(O12=0,0,(+O12*Catálogo!$K16))</f>
        <v>0</v>
      </c>
      <c r="P142" s="24">
        <f>IF(P12=0,0,(+P12*Catálogo!$K16))</f>
        <v>0</v>
      </c>
      <c r="Q142" s="24">
        <f>IF(Q12=0,0,(+Q12*Catálogo!$K16))</f>
        <v>0</v>
      </c>
      <c r="R142" s="24">
        <f>IF(R12=0,0,(+R12*Catálogo!$K16))</f>
        <v>0</v>
      </c>
      <c r="S142" s="25">
        <f>IF(S12=0,0,(+S12*Catálogo!$K35))</f>
        <v>0</v>
      </c>
      <c r="T142" s="25">
        <f>IF(T12=0,0,(+T12*Catálogo!$K35))</f>
        <v>0</v>
      </c>
      <c r="U142" s="25">
        <f>IF(U12=0,0,(+U12*Catálogo!$K35))</f>
        <v>0</v>
      </c>
      <c r="V142" s="25">
        <f>IF(V12=0,0,(+V12*Catálogo!$K35))</f>
        <v>0</v>
      </c>
      <c r="W142" s="25">
        <f>IF(W12=0,0,(+W12*Catálogo!$K35))</f>
        <v>0</v>
      </c>
      <c r="X142" s="25">
        <f>IF(X12=0,0,(+X12*Catálogo!$K35))</f>
        <v>0</v>
      </c>
      <c r="Y142" s="25">
        <f>IF(Y12=0,0,(+Y12*Catálogo!$K35))</f>
        <v>0</v>
      </c>
      <c r="Z142" s="25">
        <f>IF(Z12=0,0,(+Z12*Catálogo!$K35))</f>
        <v>0</v>
      </c>
      <c r="AA142" s="25">
        <f>IF(AA12=0,0,(+AA12*Catálogo!$K35))</f>
        <v>0</v>
      </c>
      <c r="AB142" s="25">
        <f>IF(AB12=0,0,(+AB12*Catálogo!$K35))</f>
        <v>0</v>
      </c>
      <c r="AC142" s="25">
        <f>IF(AC12=0,0,(+AC12*Catálogo!$K35))</f>
        <v>0</v>
      </c>
      <c r="AD142" s="25">
        <f>IF(AD12=0,0,(+AD12*Catálogo!$K35))</f>
        <v>0</v>
      </c>
      <c r="AE142" s="24">
        <f>IF(AE12=0,0,(+AE12*Catálogo!$K53))</f>
        <v>0</v>
      </c>
      <c r="AF142" s="24">
        <f>IF(AF12=0,0,(+AF12*Catálogo!$K53))</f>
        <v>0</v>
      </c>
      <c r="AG142" s="24">
        <f>IF(AG12=0,0,(+AG12*Catálogo!$K53))</f>
        <v>0</v>
      </c>
      <c r="AH142" s="24">
        <f>IF(AH12=0,0,(+AH12*Catálogo!$K53))</f>
        <v>0</v>
      </c>
      <c r="AI142" s="24">
        <f>IF(AI12=0,0,(+AI12*Catálogo!$K53))</f>
        <v>0</v>
      </c>
      <c r="AJ142" s="24">
        <f>IF(AJ12=0,0,(+AJ12*Catálogo!$K53))</f>
        <v>0</v>
      </c>
      <c r="AK142" s="24">
        <f>IF(AK12=0,0,(+AK12*Catálogo!$K53))</f>
        <v>0</v>
      </c>
      <c r="AL142" s="24">
        <f>IF(AL12=0,0,(+AL12*Catálogo!$K53))</f>
        <v>0</v>
      </c>
      <c r="AM142" s="24">
        <f>IF(AM12=0,0,(+AM12*Catálogo!$K53))</f>
        <v>0</v>
      </c>
      <c r="AN142" s="24">
        <f>IF(AN12=0,0,(+AN12*Catálogo!$K53))</f>
        <v>0</v>
      </c>
      <c r="AO142" s="24">
        <f>IF(AO12=0,0,(+AO12*Catálogo!$K53))</f>
        <v>0</v>
      </c>
      <c r="AP142" s="24">
        <f>IF(AP12=0,0,(+AP12*Catálogo!$K53))</f>
        <v>0</v>
      </c>
    </row>
    <row r="143" spans="1:42" hidden="1" outlineLevel="1">
      <c r="A143" s="31">
        <f t="shared" si="37"/>
        <v>0</v>
      </c>
      <c r="G143" s="24">
        <f>IF(G13=0,0,(+G13*Catálogo!$K17))</f>
        <v>0</v>
      </c>
      <c r="H143" s="24">
        <f>IF(H13=0,0,(+H13*Catálogo!$K17))</f>
        <v>0</v>
      </c>
      <c r="I143" s="24">
        <f>IF(I13=0,0,(+I13*Catálogo!$K17))</f>
        <v>0</v>
      </c>
      <c r="J143" s="24">
        <f>IF(J13=0,0,(+J13*Catálogo!$K17))</f>
        <v>0</v>
      </c>
      <c r="K143" s="24">
        <f>IF(K13=0,0,(+K13*Catálogo!$K17))</f>
        <v>0</v>
      </c>
      <c r="L143" s="24">
        <f>IF(L13=0,0,(+L13*Catálogo!$K17))</f>
        <v>0</v>
      </c>
      <c r="M143" s="24">
        <f>IF(M13=0,0,(+M13*Catálogo!$K17))</f>
        <v>0</v>
      </c>
      <c r="N143" s="24">
        <f>IF(N13=0,0,(+N13*Catálogo!$K17))</f>
        <v>0</v>
      </c>
      <c r="O143" s="24">
        <f>IF(O13=0,0,(+O13*Catálogo!$K17))</f>
        <v>0</v>
      </c>
      <c r="P143" s="24">
        <f>IF(P13=0,0,(+P13*Catálogo!$K17))</f>
        <v>0</v>
      </c>
      <c r="Q143" s="24">
        <f>IF(Q13=0,0,(+Q13*Catálogo!$K17))</f>
        <v>0</v>
      </c>
      <c r="R143" s="24">
        <f>IF(R13=0,0,(+R13*Catálogo!$K17))</f>
        <v>0</v>
      </c>
      <c r="S143" s="25">
        <f>IF(S13=0,0,(+S13*Catálogo!$K36))</f>
        <v>0</v>
      </c>
      <c r="T143" s="25">
        <f>IF(T13=0,0,(+T13*Catálogo!$K36))</f>
        <v>0</v>
      </c>
      <c r="U143" s="25">
        <f>IF(U13=0,0,(+U13*Catálogo!$K36))</f>
        <v>0</v>
      </c>
      <c r="V143" s="25">
        <f>IF(V13=0,0,(+V13*Catálogo!$K36))</f>
        <v>0</v>
      </c>
      <c r="W143" s="25">
        <f>IF(W13=0,0,(+W13*Catálogo!$K36))</f>
        <v>0</v>
      </c>
      <c r="X143" s="25">
        <f>IF(X13=0,0,(+X13*Catálogo!$K36))</f>
        <v>0</v>
      </c>
      <c r="Y143" s="25">
        <f>IF(Y13=0,0,(+Y13*Catálogo!$K36))</f>
        <v>0</v>
      </c>
      <c r="Z143" s="25">
        <f>IF(Z13=0,0,(+Z13*Catálogo!$K36))</f>
        <v>0</v>
      </c>
      <c r="AA143" s="25">
        <f>IF(AA13=0,0,(+AA13*Catálogo!$K36))</f>
        <v>0</v>
      </c>
      <c r="AB143" s="25">
        <f>IF(AB13=0,0,(+AB13*Catálogo!$K36))</f>
        <v>0</v>
      </c>
      <c r="AC143" s="25">
        <f>IF(AC13=0,0,(+AC13*Catálogo!$K36))</f>
        <v>0</v>
      </c>
      <c r="AD143" s="25">
        <f>IF(AD13=0,0,(+AD13*Catálogo!$K36))</f>
        <v>0</v>
      </c>
      <c r="AE143" s="24">
        <f>IF(AE13=0,0,(+AE13*Catálogo!$K54))</f>
        <v>0</v>
      </c>
      <c r="AF143" s="24">
        <f>IF(AF13=0,0,(+AF13*Catálogo!$K54))</f>
        <v>0</v>
      </c>
      <c r="AG143" s="24">
        <f>IF(AG13=0,0,(+AG13*Catálogo!$K54))</f>
        <v>0</v>
      </c>
      <c r="AH143" s="24">
        <f>IF(AH13=0,0,(+AH13*Catálogo!$K54))</f>
        <v>0</v>
      </c>
      <c r="AI143" s="24">
        <f>IF(AI13=0,0,(+AI13*Catálogo!$K54))</f>
        <v>0</v>
      </c>
      <c r="AJ143" s="24">
        <f>IF(AJ13=0,0,(+AJ13*Catálogo!$K54))</f>
        <v>0</v>
      </c>
      <c r="AK143" s="24">
        <f>IF(AK13=0,0,(+AK13*Catálogo!$K54))</f>
        <v>0</v>
      </c>
      <c r="AL143" s="24">
        <f>IF(AL13=0,0,(+AL13*Catálogo!$K54))</f>
        <v>0</v>
      </c>
      <c r="AM143" s="24">
        <f>IF(AM13=0,0,(+AM13*Catálogo!$K54))</f>
        <v>0</v>
      </c>
      <c r="AN143" s="24">
        <f>IF(AN13=0,0,(+AN13*Catálogo!$K54))</f>
        <v>0</v>
      </c>
      <c r="AO143" s="24">
        <f>IF(AO13=0,0,(+AO13*Catálogo!$K54))</f>
        <v>0</v>
      </c>
      <c r="AP143" s="24">
        <f>IF(AP13=0,0,(+AP13*Catálogo!$K54))</f>
        <v>0</v>
      </c>
    </row>
    <row r="144" spans="1:42" hidden="1" outlineLevel="1">
      <c r="A144" s="31">
        <f t="shared" si="37"/>
        <v>0</v>
      </c>
      <c r="G144" s="24">
        <f>IF(G14=0,0,(+G14*Catálogo!$K18))</f>
        <v>0</v>
      </c>
      <c r="H144" s="24">
        <f>IF(H14=0,0,(+H14*Catálogo!$K18))</f>
        <v>0</v>
      </c>
      <c r="I144" s="24">
        <f>IF(I14=0,0,(+I14*Catálogo!$K18))</f>
        <v>0</v>
      </c>
      <c r="J144" s="24">
        <f>IF(J14=0,0,(+J14*Catálogo!$K18))</f>
        <v>0</v>
      </c>
      <c r="K144" s="24">
        <f>IF(K14=0,0,(+K14*Catálogo!$K18))</f>
        <v>0</v>
      </c>
      <c r="L144" s="24">
        <f>IF(L14=0,0,(+L14*Catálogo!$K18))</f>
        <v>0</v>
      </c>
      <c r="M144" s="24">
        <f>IF(M14=0,0,(+M14*Catálogo!$K18))</f>
        <v>0</v>
      </c>
      <c r="N144" s="24">
        <f>IF(N14=0,0,(+N14*Catálogo!$K18))</f>
        <v>0</v>
      </c>
      <c r="O144" s="24">
        <f>IF(O14=0,0,(+O14*Catálogo!$K18))</f>
        <v>0</v>
      </c>
      <c r="P144" s="24">
        <f>IF(P14=0,0,(+P14*Catálogo!$K18))</f>
        <v>0</v>
      </c>
      <c r="Q144" s="24">
        <f>IF(Q14=0,0,(+Q14*Catálogo!$K18))</f>
        <v>0</v>
      </c>
      <c r="R144" s="24">
        <f>IF(R14=0,0,(+R14*Catálogo!$K18))</f>
        <v>0</v>
      </c>
      <c r="S144" s="25">
        <f>IF(S14=0,0,(+S14*Catálogo!$K37))</f>
        <v>0</v>
      </c>
      <c r="T144" s="25">
        <f>IF(T14=0,0,(+T14*Catálogo!$K37))</f>
        <v>0</v>
      </c>
      <c r="U144" s="25">
        <f>IF(U14=0,0,(+U14*Catálogo!$K37))</f>
        <v>0</v>
      </c>
      <c r="V144" s="25">
        <f>IF(V14=0,0,(+V14*Catálogo!$K37))</f>
        <v>0</v>
      </c>
      <c r="W144" s="25">
        <f>IF(W14=0,0,(+W14*Catálogo!$K37))</f>
        <v>0</v>
      </c>
      <c r="X144" s="25">
        <f>IF(X14=0,0,(+X14*Catálogo!$K37))</f>
        <v>0</v>
      </c>
      <c r="Y144" s="25">
        <f>IF(Y14=0,0,(+Y14*Catálogo!$K37))</f>
        <v>0</v>
      </c>
      <c r="Z144" s="25">
        <f>IF(Z14=0,0,(+Z14*Catálogo!$K37))</f>
        <v>0</v>
      </c>
      <c r="AA144" s="25">
        <f>IF(AA14=0,0,(+AA14*Catálogo!$K37))</f>
        <v>0</v>
      </c>
      <c r="AB144" s="25">
        <f>IF(AB14=0,0,(+AB14*Catálogo!$K37))</f>
        <v>0</v>
      </c>
      <c r="AC144" s="25">
        <f>IF(AC14=0,0,(+AC14*Catálogo!$K37))</f>
        <v>0</v>
      </c>
      <c r="AD144" s="25">
        <f>IF(AD14=0,0,(+AD14*Catálogo!$K37))</f>
        <v>0</v>
      </c>
      <c r="AE144" s="24">
        <f>IF(AE14=0,0,(+AE14*Catálogo!$K55))</f>
        <v>0</v>
      </c>
      <c r="AF144" s="24">
        <f>IF(AF14=0,0,(+AF14*Catálogo!$K55))</f>
        <v>0</v>
      </c>
      <c r="AG144" s="24">
        <f>IF(AG14=0,0,(+AG14*Catálogo!$K55))</f>
        <v>0</v>
      </c>
      <c r="AH144" s="24">
        <f>IF(AH14=0,0,(+AH14*Catálogo!$K55))</f>
        <v>0</v>
      </c>
      <c r="AI144" s="24">
        <f>IF(AI14=0,0,(+AI14*Catálogo!$K55))</f>
        <v>0</v>
      </c>
      <c r="AJ144" s="24">
        <f>IF(AJ14=0,0,(+AJ14*Catálogo!$K55))</f>
        <v>0</v>
      </c>
      <c r="AK144" s="24">
        <f>IF(AK14=0,0,(+AK14*Catálogo!$K55))</f>
        <v>0</v>
      </c>
      <c r="AL144" s="24">
        <f>IF(AL14=0,0,(+AL14*Catálogo!$K55))</f>
        <v>0</v>
      </c>
      <c r="AM144" s="24">
        <f>IF(AM14=0,0,(+AM14*Catálogo!$K55))</f>
        <v>0</v>
      </c>
      <c r="AN144" s="24">
        <f>IF(AN14=0,0,(+AN14*Catálogo!$K55))</f>
        <v>0</v>
      </c>
      <c r="AO144" s="24">
        <f>IF(AO14=0,0,(+AO14*Catálogo!$K55))</f>
        <v>0</v>
      </c>
      <c r="AP144" s="24">
        <f>IF(AP14=0,0,(+AP14*Catálogo!$K55))</f>
        <v>0</v>
      </c>
    </row>
    <row r="145" spans="1:42" hidden="1" outlineLevel="1">
      <c r="A145" s="31">
        <f t="shared" si="37"/>
        <v>0</v>
      </c>
      <c r="G145" s="24">
        <f>IF(G15=0,0,(+G15*Catálogo!$K19))</f>
        <v>0</v>
      </c>
      <c r="H145" s="24">
        <f>IF(H15=0,0,(+H15*Catálogo!$K19))</f>
        <v>0</v>
      </c>
      <c r="I145" s="24">
        <f>IF(I15=0,0,(+I15*Catálogo!$K19))</f>
        <v>0</v>
      </c>
      <c r="J145" s="24">
        <f>IF(J15=0,0,(+J15*Catálogo!$K19))</f>
        <v>0</v>
      </c>
      <c r="K145" s="24">
        <f>IF(K15=0,0,(+K15*Catálogo!$K19))</f>
        <v>0</v>
      </c>
      <c r="L145" s="24">
        <f>IF(L15=0,0,(+L15*Catálogo!$K19))</f>
        <v>0</v>
      </c>
      <c r="M145" s="24">
        <f>IF(M15=0,0,(+M15*Catálogo!$K19))</f>
        <v>0</v>
      </c>
      <c r="N145" s="24">
        <f>IF(N15=0,0,(+N15*Catálogo!$K19))</f>
        <v>0</v>
      </c>
      <c r="O145" s="24">
        <f>IF(O15=0,0,(+O15*Catálogo!$K19))</f>
        <v>0</v>
      </c>
      <c r="P145" s="24">
        <f>IF(P15=0,0,(+P15*Catálogo!$K19))</f>
        <v>0</v>
      </c>
      <c r="Q145" s="24">
        <f>IF(Q15=0,0,(+Q15*Catálogo!$K19))</f>
        <v>0</v>
      </c>
      <c r="R145" s="24">
        <f>IF(R15=0,0,(+R15*Catálogo!$K19))</f>
        <v>0</v>
      </c>
      <c r="S145" s="25">
        <f>IF(S15=0,0,(+S15*Catálogo!$K38))</f>
        <v>0</v>
      </c>
      <c r="T145" s="25">
        <f>IF(T15=0,0,(+T15*Catálogo!$K38))</f>
        <v>0</v>
      </c>
      <c r="U145" s="25">
        <f>IF(U15=0,0,(+U15*Catálogo!$K38))</f>
        <v>0</v>
      </c>
      <c r="V145" s="25">
        <f>IF(V15=0,0,(+V15*Catálogo!$K38))</f>
        <v>0</v>
      </c>
      <c r="W145" s="25">
        <f>IF(W15=0,0,(+W15*Catálogo!$K38))</f>
        <v>0</v>
      </c>
      <c r="X145" s="25">
        <f>IF(X15=0,0,(+X15*Catálogo!$K38))</f>
        <v>0</v>
      </c>
      <c r="Y145" s="25">
        <f>IF(Y15=0,0,(+Y15*Catálogo!$K38))</f>
        <v>0</v>
      </c>
      <c r="Z145" s="25">
        <f>IF(Z15=0,0,(+Z15*Catálogo!$K38))</f>
        <v>0</v>
      </c>
      <c r="AA145" s="25">
        <f>IF(AA15=0,0,(+AA15*Catálogo!$K38))</f>
        <v>0</v>
      </c>
      <c r="AB145" s="25">
        <f>IF(AB15=0,0,(+AB15*Catálogo!$K38))</f>
        <v>0</v>
      </c>
      <c r="AC145" s="25">
        <f>IF(AC15=0,0,(+AC15*Catálogo!$K38))</f>
        <v>0</v>
      </c>
      <c r="AD145" s="25">
        <f>IF(AD15=0,0,(+AD15*Catálogo!$K38))</f>
        <v>0</v>
      </c>
      <c r="AE145" s="24">
        <f>IF(AE15=0,0,(+AE15*Catálogo!$K56))</f>
        <v>0</v>
      </c>
      <c r="AF145" s="24">
        <f>IF(AF15=0,0,(+AF15*Catálogo!$K56))</f>
        <v>0</v>
      </c>
      <c r="AG145" s="24">
        <f>IF(AG15=0,0,(+AG15*Catálogo!$K56))</f>
        <v>0</v>
      </c>
      <c r="AH145" s="24">
        <f>IF(AH15=0,0,(+AH15*Catálogo!$K56))</f>
        <v>0</v>
      </c>
      <c r="AI145" s="24">
        <f>IF(AI15=0,0,(+AI15*Catálogo!$K56))</f>
        <v>0</v>
      </c>
      <c r="AJ145" s="24">
        <f>IF(AJ15=0,0,(+AJ15*Catálogo!$K56))</f>
        <v>0</v>
      </c>
      <c r="AK145" s="24">
        <f>IF(AK15=0,0,(+AK15*Catálogo!$K56))</f>
        <v>0</v>
      </c>
      <c r="AL145" s="24">
        <f>IF(AL15=0,0,(+AL15*Catálogo!$K56))</f>
        <v>0</v>
      </c>
      <c r="AM145" s="24">
        <f>IF(AM15=0,0,(+AM15*Catálogo!$K56))</f>
        <v>0</v>
      </c>
      <c r="AN145" s="24">
        <f>IF(AN15=0,0,(+AN15*Catálogo!$K56))</f>
        <v>0</v>
      </c>
      <c r="AO145" s="24">
        <f>IF(AO15=0,0,(+AO15*Catálogo!$K56))</f>
        <v>0</v>
      </c>
      <c r="AP145" s="24">
        <f>IF(AP15=0,0,(+AP15*Catálogo!$K56))</f>
        <v>0</v>
      </c>
    </row>
    <row r="146" spans="1:42" hidden="1" outlineLevel="1">
      <c r="A146" s="31">
        <f t="shared" si="37"/>
        <v>0</v>
      </c>
      <c r="G146" s="24">
        <f>IF(G16=0,0,(+G16*Catálogo!$K20))</f>
        <v>0</v>
      </c>
      <c r="H146" s="24">
        <f>IF(H16=0,0,(+H16*Catálogo!$K20))</f>
        <v>0</v>
      </c>
      <c r="I146" s="24">
        <f>IF(I16=0,0,(+I16*Catálogo!$K20))</f>
        <v>0</v>
      </c>
      <c r="J146" s="24">
        <f>IF(J16=0,0,(+J16*Catálogo!$K20))</f>
        <v>0</v>
      </c>
      <c r="K146" s="24">
        <f>IF(K16=0,0,(+K16*Catálogo!$K20))</f>
        <v>0</v>
      </c>
      <c r="L146" s="24">
        <f>IF(L16=0,0,(+L16*Catálogo!$K20))</f>
        <v>0</v>
      </c>
      <c r="M146" s="24">
        <f>IF(M16=0,0,(+M16*Catálogo!$K20))</f>
        <v>0</v>
      </c>
      <c r="N146" s="24">
        <f>IF(N16=0,0,(+N16*Catálogo!$K20))</f>
        <v>0</v>
      </c>
      <c r="O146" s="24">
        <f>IF(O16=0,0,(+O16*Catálogo!$K20))</f>
        <v>0</v>
      </c>
      <c r="P146" s="24">
        <f>IF(P16=0,0,(+P16*Catálogo!$K20))</f>
        <v>0</v>
      </c>
      <c r="Q146" s="24">
        <f>IF(Q16=0,0,(+Q16*Catálogo!$K20))</f>
        <v>0</v>
      </c>
      <c r="R146" s="24">
        <f>IF(R16=0,0,(+R16*Catálogo!$K20))</f>
        <v>0</v>
      </c>
      <c r="S146" s="25">
        <f>IF(S16=0,0,(+S16*Catálogo!$K39))</f>
        <v>0</v>
      </c>
      <c r="T146" s="25">
        <f>IF(T16=0,0,(+T16*Catálogo!$K39))</f>
        <v>0</v>
      </c>
      <c r="U146" s="25">
        <f>IF(U16=0,0,(+U16*Catálogo!$K39))</f>
        <v>0</v>
      </c>
      <c r="V146" s="25">
        <f>IF(V16=0,0,(+V16*Catálogo!$K39))</f>
        <v>0</v>
      </c>
      <c r="W146" s="25">
        <f>IF(W16=0,0,(+W16*Catálogo!$K39))</f>
        <v>0</v>
      </c>
      <c r="X146" s="25">
        <f>IF(X16=0,0,(+X16*Catálogo!$K39))</f>
        <v>0</v>
      </c>
      <c r="Y146" s="25">
        <f>IF(Y16=0,0,(+Y16*Catálogo!$K39))</f>
        <v>0</v>
      </c>
      <c r="Z146" s="25">
        <f>IF(Z16=0,0,(+Z16*Catálogo!$K39))</f>
        <v>0</v>
      </c>
      <c r="AA146" s="25">
        <f>IF(AA16=0,0,(+AA16*Catálogo!$K39))</f>
        <v>0</v>
      </c>
      <c r="AB146" s="25">
        <f>IF(AB16=0,0,(+AB16*Catálogo!$K39))</f>
        <v>0</v>
      </c>
      <c r="AC146" s="25">
        <f>IF(AC16=0,0,(+AC16*Catálogo!$K39))</f>
        <v>0</v>
      </c>
      <c r="AD146" s="25">
        <f>IF(AD16=0,0,(+AD16*Catálogo!$K39))</f>
        <v>0</v>
      </c>
      <c r="AE146" s="24">
        <f>IF(AE16=0,0,(+AE16*Catálogo!$K57))</f>
        <v>0</v>
      </c>
      <c r="AF146" s="24">
        <f>IF(AF16=0,0,(+AF16*Catálogo!$K57))</f>
        <v>0</v>
      </c>
      <c r="AG146" s="24">
        <f>IF(AG16=0,0,(+AG16*Catálogo!$K57))</f>
        <v>0</v>
      </c>
      <c r="AH146" s="24">
        <f>IF(AH16=0,0,(+AH16*Catálogo!$K57))</f>
        <v>0</v>
      </c>
      <c r="AI146" s="24">
        <f>IF(AI16=0,0,(+AI16*Catálogo!$K57))</f>
        <v>0</v>
      </c>
      <c r="AJ146" s="24">
        <f>IF(AJ16=0,0,(+AJ16*Catálogo!$K57))</f>
        <v>0</v>
      </c>
      <c r="AK146" s="24">
        <f>IF(AK16=0,0,(+AK16*Catálogo!$K57))</f>
        <v>0</v>
      </c>
      <c r="AL146" s="24">
        <f>IF(AL16=0,0,(+AL16*Catálogo!$K57))</f>
        <v>0</v>
      </c>
      <c r="AM146" s="24">
        <f>IF(AM16=0,0,(+AM16*Catálogo!$K57))</f>
        <v>0</v>
      </c>
      <c r="AN146" s="24">
        <f>IF(AN16=0,0,(+AN16*Catálogo!$K57))</f>
        <v>0</v>
      </c>
      <c r="AO146" s="24">
        <f>IF(AO16=0,0,(+AO16*Catálogo!$K57))</f>
        <v>0</v>
      </c>
      <c r="AP146" s="24">
        <f>IF(AP16=0,0,(+AP16*Catálogo!$K57))</f>
        <v>0</v>
      </c>
    </row>
    <row r="147" spans="1:42" s="26" customFormat="1" collapsed="1">
      <c r="A147" s="26" t="s">
        <v>89</v>
      </c>
      <c r="B147" s="29"/>
      <c r="G147" s="27">
        <f>SUM(G132:G146)</f>
        <v>0</v>
      </c>
      <c r="H147" s="27">
        <f t="shared" ref="H147:AP147" si="38">SUM(H132:H146)</f>
        <v>0</v>
      </c>
      <c r="I147" s="27">
        <f t="shared" si="38"/>
        <v>0</v>
      </c>
      <c r="J147" s="27">
        <f t="shared" si="38"/>
        <v>0</v>
      </c>
      <c r="K147" s="27">
        <f t="shared" si="38"/>
        <v>0</v>
      </c>
      <c r="L147" s="27">
        <f t="shared" si="38"/>
        <v>0</v>
      </c>
      <c r="M147" s="27">
        <f t="shared" si="38"/>
        <v>0</v>
      </c>
      <c r="N147" s="27">
        <f t="shared" si="38"/>
        <v>0</v>
      </c>
      <c r="O147" s="27">
        <f t="shared" si="38"/>
        <v>0</v>
      </c>
      <c r="P147" s="27">
        <f t="shared" si="38"/>
        <v>0</v>
      </c>
      <c r="Q147" s="27">
        <f t="shared" si="38"/>
        <v>0</v>
      </c>
      <c r="R147" s="27">
        <f t="shared" si="38"/>
        <v>0</v>
      </c>
      <c r="S147" s="27">
        <f t="shared" si="38"/>
        <v>0</v>
      </c>
      <c r="T147" s="27">
        <f t="shared" si="38"/>
        <v>0</v>
      </c>
      <c r="U147" s="27">
        <f t="shared" si="38"/>
        <v>0</v>
      </c>
      <c r="V147" s="27">
        <f t="shared" si="38"/>
        <v>0</v>
      </c>
      <c r="W147" s="27">
        <f t="shared" si="38"/>
        <v>0</v>
      </c>
      <c r="X147" s="27">
        <f t="shared" si="38"/>
        <v>0</v>
      </c>
      <c r="Y147" s="27">
        <f t="shared" si="38"/>
        <v>0</v>
      </c>
      <c r="Z147" s="27">
        <f t="shared" si="38"/>
        <v>0</v>
      </c>
      <c r="AA147" s="27">
        <f t="shared" si="38"/>
        <v>0</v>
      </c>
      <c r="AB147" s="27">
        <f t="shared" si="38"/>
        <v>0</v>
      </c>
      <c r="AC147" s="27">
        <f t="shared" si="38"/>
        <v>0</v>
      </c>
      <c r="AD147" s="27">
        <f t="shared" si="38"/>
        <v>0</v>
      </c>
      <c r="AE147" s="27">
        <f t="shared" si="38"/>
        <v>0</v>
      </c>
      <c r="AF147" s="27">
        <f t="shared" si="38"/>
        <v>0</v>
      </c>
      <c r="AG147" s="27">
        <f t="shared" si="38"/>
        <v>0</v>
      </c>
      <c r="AH147" s="27">
        <f t="shared" si="38"/>
        <v>0</v>
      </c>
      <c r="AI147" s="27">
        <f t="shared" si="38"/>
        <v>0</v>
      </c>
      <c r="AJ147" s="27">
        <f t="shared" si="38"/>
        <v>0</v>
      </c>
      <c r="AK147" s="27">
        <f t="shared" si="38"/>
        <v>0</v>
      </c>
      <c r="AL147" s="27">
        <f t="shared" si="38"/>
        <v>0</v>
      </c>
      <c r="AM147" s="27">
        <f t="shared" si="38"/>
        <v>0</v>
      </c>
      <c r="AN147" s="27">
        <f t="shared" si="38"/>
        <v>0</v>
      </c>
      <c r="AO147" s="27">
        <f t="shared" si="38"/>
        <v>0</v>
      </c>
      <c r="AP147" s="27">
        <f t="shared" si="38"/>
        <v>0</v>
      </c>
    </row>
    <row r="148" spans="1:42" hidden="1" outlineLevel="1">
      <c r="B148" s="18" t="s">
        <v>182</v>
      </c>
    </row>
    <row r="149" spans="1:42" hidden="1" outlineLevel="1">
      <c r="A149" s="31">
        <f>+A19</f>
        <v>0</v>
      </c>
      <c r="B149" s="30">
        <f>IF(Cuestionario!$C$70="si",0,+Catálogo!S6)</f>
        <v>0</v>
      </c>
      <c r="G149" s="24">
        <f>+G132*$B149</f>
        <v>0</v>
      </c>
      <c r="H149" s="24">
        <f t="shared" ref="H149:AP149" si="39">+H132*$B149</f>
        <v>0</v>
      </c>
      <c r="I149" s="24">
        <f t="shared" si="39"/>
        <v>0</v>
      </c>
      <c r="J149" s="24">
        <f t="shared" si="39"/>
        <v>0</v>
      </c>
      <c r="K149" s="24">
        <f t="shared" si="39"/>
        <v>0</v>
      </c>
      <c r="L149" s="24">
        <f t="shared" si="39"/>
        <v>0</v>
      </c>
      <c r="M149" s="24">
        <f t="shared" si="39"/>
        <v>0</v>
      </c>
      <c r="N149" s="24">
        <f t="shared" si="39"/>
        <v>0</v>
      </c>
      <c r="O149" s="24">
        <f t="shared" si="39"/>
        <v>0</v>
      </c>
      <c r="P149" s="24">
        <f t="shared" si="39"/>
        <v>0</v>
      </c>
      <c r="Q149" s="24">
        <f t="shared" si="39"/>
        <v>0</v>
      </c>
      <c r="R149" s="24">
        <f t="shared" si="39"/>
        <v>0</v>
      </c>
      <c r="S149" s="24">
        <f t="shared" si="39"/>
        <v>0</v>
      </c>
      <c r="T149" s="24">
        <f t="shared" si="39"/>
        <v>0</v>
      </c>
      <c r="U149" s="24">
        <f t="shared" si="39"/>
        <v>0</v>
      </c>
      <c r="V149" s="24">
        <f t="shared" si="39"/>
        <v>0</v>
      </c>
      <c r="W149" s="24">
        <f t="shared" si="39"/>
        <v>0</v>
      </c>
      <c r="X149" s="24">
        <f t="shared" si="39"/>
        <v>0</v>
      </c>
      <c r="Y149" s="24">
        <f t="shared" si="39"/>
        <v>0</v>
      </c>
      <c r="Z149" s="24">
        <f t="shared" si="39"/>
        <v>0</v>
      </c>
      <c r="AA149" s="24">
        <f t="shared" si="39"/>
        <v>0</v>
      </c>
      <c r="AB149" s="24">
        <f t="shared" si="39"/>
        <v>0</v>
      </c>
      <c r="AC149" s="24">
        <f t="shared" si="39"/>
        <v>0</v>
      </c>
      <c r="AD149" s="24">
        <f t="shared" si="39"/>
        <v>0</v>
      </c>
      <c r="AE149" s="24">
        <f>+AE132*$B149</f>
        <v>0</v>
      </c>
      <c r="AF149" s="24">
        <f t="shared" si="39"/>
        <v>0</v>
      </c>
      <c r="AG149" s="24">
        <f t="shared" si="39"/>
        <v>0</v>
      </c>
      <c r="AH149" s="24">
        <f t="shared" si="39"/>
        <v>0</v>
      </c>
      <c r="AI149" s="24">
        <f t="shared" si="39"/>
        <v>0</v>
      </c>
      <c r="AJ149" s="24">
        <f t="shared" si="39"/>
        <v>0</v>
      </c>
      <c r="AK149" s="24">
        <f t="shared" si="39"/>
        <v>0</v>
      </c>
      <c r="AL149" s="24">
        <f t="shared" si="39"/>
        <v>0</v>
      </c>
      <c r="AM149" s="24">
        <f t="shared" si="39"/>
        <v>0</v>
      </c>
      <c r="AN149" s="24">
        <f t="shared" si="39"/>
        <v>0</v>
      </c>
      <c r="AO149" s="24">
        <f t="shared" si="39"/>
        <v>0</v>
      </c>
      <c r="AP149" s="24">
        <f t="shared" si="39"/>
        <v>0</v>
      </c>
    </row>
    <row r="150" spans="1:42" hidden="1" outlineLevel="1">
      <c r="A150" s="31">
        <f t="shared" ref="A150:A162" si="40">+A20</f>
        <v>0</v>
      </c>
      <c r="B150" s="30">
        <f>IF(Cuestionario!$C$70="si",0,+Catálogo!S7)</f>
        <v>0</v>
      </c>
      <c r="G150" s="24">
        <f t="shared" ref="G150:AP157" si="41">+G133*$B150</f>
        <v>0</v>
      </c>
      <c r="H150" s="24">
        <f t="shared" si="41"/>
        <v>0</v>
      </c>
      <c r="I150" s="24">
        <f t="shared" si="41"/>
        <v>0</v>
      </c>
      <c r="J150" s="24">
        <f t="shared" si="41"/>
        <v>0</v>
      </c>
      <c r="K150" s="24">
        <f t="shared" si="41"/>
        <v>0</v>
      </c>
      <c r="L150" s="24">
        <f t="shared" si="41"/>
        <v>0</v>
      </c>
      <c r="M150" s="24">
        <f t="shared" si="41"/>
        <v>0</v>
      </c>
      <c r="N150" s="24">
        <f t="shared" si="41"/>
        <v>0</v>
      </c>
      <c r="O150" s="24">
        <f t="shared" si="41"/>
        <v>0</v>
      </c>
      <c r="P150" s="24">
        <f t="shared" si="41"/>
        <v>0</v>
      </c>
      <c r="Q150" s="24">
        <f t="shared" si="41"/>
        <v>0</v>
      </c>
      <c r="R150" s="24">
        <f t="shared" si="41"/>
        <v>0</v>
      </c>
      <c r="S150" s="24">
        <f t="shared" si="41"/>
        <v>0</v>
      </c>
      <c r="T150" s="24">
        <f t="shared" si="41"/>
        <v>0</v>
      </c>
      <c r="U150" s="24">
        <f t="shared" si="41"/>
        <v>0</v>
      </c>
      <c r="V150" s="24">
        <f t="shared" si="41"/>
        <v>0</v>
      </c>
      <c r="W150" s="24">
        <f t="shared" si="41"/>
        <v>0</v>
      </c>
      <c r="X150" s="24">
        <f t="shared" si="41"/>
        <v>0</v>
      </c>
      <c r="Y150" s="24">
        <f t="shared" si="41"/>
        <v>0</v>
      </c>
      <c r="Z150" s="24">
        <f t="shared" si="41"/>
        <v>0</v>
      </c>
      <c r="AA150" s="24">
        <f t="shared" si="41"/>
        <v>0</v>
      </c>
      <c r="AB150" s="24">
        <f t="shared" si="41"/>
        <v>0</v>
      </c>
      <c r="AC150" s="24">
        <f t="shared" si="41"/>
        <v>0</v>
      </c>
      <c r="AD150" s="24">
        <f t="shared" si="41"/>
        <v>0</v>
      </c>
      <c r="AE150" s="24">
        <f t="shared" si="41"/>
        <v>0</v>
      </c>
      <c r="AF150" s="24">
        <f t="shared" si="41"/>
        <v>0</v>
      </c>
      <c r="AG150" s="24">
        <f t="shared" si="41"/>
        <v>0</v>
      </c>
      <c r="AH150" s="24">
        <f t="shared" si="41"/>
        <v>0</v>
      </c>
      <c r="AI150" s="24">
        <f t="shared" si="41"/>
        <v>0</v>
      </c>
      <c r="AJ150" s="24">
        <f t="shared" si="41"/>
        <v>0</v>
      </c>
      <c r="AK150" s="24">
        <f t="shared" si="41"/>
        <v>0</v>
      </c>
      <c r="AL150" s="24">
        <f t="shared" si="41"/>
        <v>0</v>
      </c>
      <c r="AM150" s="24">
        <f t="shared" si="41"/>
        <v>0</v>
      </c>
      <c r="AN150" s="24">
        <f t="shared" si="41"/>
        <v>0</v>
      </c>
      <c r="AO150" s="24">
        <f t="shared" si="41"/>
        <v>0</v>
      </c>
      <c r="AP150" s="24">
        <f t="shared" si="41"/>
        <v>0</v>
      </c>
    </row>
    <row r="151" spans="1:42" hidden="1" outlineLevel="1">
      <c r="A151" s="31">
        <f t="shared" si="40"/>
        <v>0</v>
      </c>
      <c r="B151" s="30">
        <f>IF(Cuestionario!$C$70="si",0,+Catálogo!S8)</f>
        <v>0</v>
      </c>
      <c r="G151" s="24">
        <f t="shared" si="41"/>
        <v>0</v>
      </c>
      <c r="H151" s="24">
        <f t="shared" si="41"/>
        <v>0</v>
      </c>
      <c r="I151" s="24">
        <f t="shared" si="41"/>
        <v>0</v>
      </c>
      <c r="J151" s="24">
        <f t="shared" si="41"/>
        <v>0</v>
      </c>
      <c r="K151" s="24">
        <f t="shared" si="41"/>
        <v>0</v>
      </c>
      <c r="L151" s="24">
        <f t="shared" si="41"/>
        <v>0</v>
      </c>
      <c r="M151" s="24">
        <f t="shared" si="41"/>
        <v>0</v>
      </c>
      <c r="N151" s="24">
        <f t="shared" si="41"/>
        <v>0</v>
      </c>
      <c r="O151" s="24">
        <f t="shared" si="41"/>
        <v>0</v>
      </c>
      <c r="P151" s="24">
        <f t="shared" si="41"/>
        <v>0</v>
      </c>
      <c r="Q151" s="24">
        <f t="shared" si="41"/>
        <v>0</v>
      </c>
      <c r="R151" s="24">
        <f t="shared" si="41"/>
        <v>0</v>
      </c>
      <c r="S151" s="24">
        <f t="shared" si="41"/>
        <v>0</v>
      </c>
      <c r="T151" s="24">
        <f t="shared" si="41"/>
        <v>0</v>
      </c>
      <c r="U151" s="24">
        <f t="shared" si="41"/>
        <v>0</v>
      </c>
      <c r="V151" s="24">
        <f t="shared" si="41"/>
        <v>0</v>
      </c>
      <c r="W151" s="24">
        <f t="shared" si="41"/>
        <v>0</v>
      </c>
      <c r="X151" s="24">
        <f t="shared" si="41"/>
        <v>0</v>
      </c>
      <c r="Y151" s="24">
        <f t="shared" si="41"/>
        <v>0</v>
      </c>
      <c r="Z151" s="24">
        <f t="shared" si="41"/>
        <v>0</v>
      </c>
      <c r="AA151" s="24">
        <f t="shared" si="41"/>
        <v>0</v>
      </c>
      <c r="AB151" s="24">
        <f t="shared" si="41"/>
        <v>0</v>
      </c>
      <c r="AC151" s="24">
        <f t="shared" si="41"/>
        <v>0</v>
      </c>
      <c r="AD151" s="24">
        <f t="shared" si="41"/>
        <v>0</v>
      </c>
      <c r="AE151" s="24">
        <f t="shared" si="41"/>
        <v>0</v>
      </c>
      <c r="AF151" s="24">
        <f t="shared" si="41"/>
        <v>0</v>
      </c>
      <c r="AG151" s="24">
        <f t="shared" si="41"/>
        <v>0</v>
      </c>
      <c r="AH151" s="24">
        <f t="shared" si="41"/>
        <v>0</v>
      </c>
      <c r="AI151" s="24">
        <f t="shared" si="41"/>
        <v>0</v>
      </c>
      <c r="AJ151" s="24">
        <f t="shared" si="41"/>
        <v>0</v>
      </c>
      <c r="AK151" s="24">
        <f t="shared" si="41"/>
        <v>0</v>
      </c>
      <c r="AL151" s="24">
        <f t="shared" si="41"/>
        <v>0</v>
      </c>
      <c r="AM151" s="24">
        <f t="shared" si="41"/>
        <v>0</v>
      </c>
      <c r="AN151" s="24">
        <f t="shared" si="41"/>
        <v>0</v>
      </c>
      <c r="AO151" s="24">
        <f t="shared" si="41"/>
        <v>0</v>
      </c>
      <c r="AP151" s="24">
        <f t="shared" si="41"/>
        <v>0</v>
      </c>
    </row>
    <row r="152" spans="1:42" hidden="1" outlineLevel="1">
      <c r="A152" s="31">
        <f t="shared" si="40"/>
        <v>0</v>
      </c>
      <c r="B152" s="30">
        <f>IF(Cuestionario!$C$70="si",0,+Catálogo!S9)</f>
        <v>0</v>
      </c>
      <c r="G152" s="24">
        <f t="shared" si="41"/>
        <v>0</v>
      </c>
      <c r="H152" s="24">
        <f t="shared" si="41"/>
        <v>0</v>
      </c>
      <c r="I152" s="24">
        <f t="shared" si="41"/>
        <v>0</v>
      </c>
      <c r="J152" s="24">
        <f t="shared" si="41"/>
        <v>0</v>
      </c>
      <c r="K152" s="24">
        <f t="shared" si="41"/>
        <v>0</v>
      </c>
      <c r="L152" s="24">
        <f t="shared" si="41"/>
        <v>0</v>
      </c>
      <c r="M152" s="24">
        <f t="shared" si="41"/>
        <v>0</v>
      </c>
      <c r="N152" s="24">
        <f t="shared" si="41"/>
        <v>0</v>
      </c>
      <c r="O152" s="24">
        <f t="shared" si="41"/>
        <v>0</v>
      </c>
      <c r="P152" s="24">
        <f t="shared" si="41"/>
        <v>0</v>
      </c>
      <c r="Q152" s="24">
        <f t="shared" si="41"/>
        <v>0</v>
      </c>
      <c r="R152" s="24">
        <f t="shared" si="41"/>
        <v>0</v>
      </c>
      <c r="S152" s="24">
        <f t="shared" si="41"/>
        <v>0</v>
      </c>
      <c r="T152" s="24">
        <f t="shared" si="41"/>
        <v>0</v>
      </c>
      <c r="U152" s="24">
        <f t="shared" si="41"/>
        <v>0</v>
      </c>
      <c r="V152" s="24">
        <f t="shared" si="41"/>
        <v>0</v>
      </c>
      <c r="W152" s="24">
        <f t="shared" si="41"/>
        <v>0</v>
      </c>
      <c r="X152" s="24">
        <f t="shared" si="41"/>
        <v>0</v>
      </c>
      <c r="Y152" s="24">
        <f t="shared" si="41"/>
        <v>0</v>
      </c>
      <c r="Z152" s="24">
        <f t="shared" si="41"/>
        <v>0</v>
      </c>
      <c r="AA152" s="24">
        <f t="shared" si="41"/>
        <v>0</v>
      </c>
      <c r="AB152" s="24">
        <f t="shared" si="41"/>
        <v>0</v>
      </c>
      <c r="AC152" s="24">
        <f t="shared" si="41"/>
        <v>0</v>
      </c>
      <c r="AD152" s="24">
        <f t="shared" si="41"/>
        <v>0</v>
      </c>
      <c r="AE152" s="24">
        <f t="shared" si="41"/>
        <v>0</v>
      </c>
      <c r="AF152" s="24">
        <f t="shared" si="41"/>
        <v>0</v>
      </c>
      <c r="AG152" s="24">
        <f t="shared" si="41"/>
        <v>0</v>
      </c>
      <c r="AH152" s="24">
        <f t="shared" si="41"/>
        <v>0</v>
      </c>
      <c r="AI152" s="24">
        <f t="shared" si="41"/>
        <v>0</v>
      </c>
      <c r="AJ152" s="24">
        <f t="shared" si="41"/>
        <v>0</v>
      </c>
      <c r="AK152" s="24">
        <f t="shared" si="41"/>
        <v>0</v>
      </c>
      <c r="AL152" s="24">
        <f t="shared" si="41"/>
        <v>0</v>
      </c>
      <c r="AM152" s="24">
        <f t="shared" si="41"/>
        <v>0</v>
      </c>
      <c r="AN152" s="24">
        <f t="shared" si="41"/>
        <v>0</v>
      </c>
      <c r="AO152" s="24">
        <f t="shared" si="41"/>
        <v>0</v>
      </c>
      <c r="AP152" s="24">
        <f t="shared" si="41"/>
        <v>0</v>
      </c>
    </row>
    <row r="153" spans="1:42" hidden="1" outlineLevel="1">
      <c r="A153" s="31">
        <f t="shared" si="40"/>
        <v>0</v>
      </c>
      <c r="B153" s="30">
        <f>IF(Cuestionario!$C$70="si",0,+Catálogo!S10)</f>
        <v>0</v>
      </c>
      <c r="G153" s="24">
        <f t="shared" si="41"/>
        <v>0</v>
      </c>
      <c r="H153" s="24">
        <f t="shared" si="41"/>
        <v>0</v>
      </c>
      <c r="I153" s="24">
        <f t="shared" si="41"/>
        <v>0</v>
      </c>
      <c r="J153" s="24">
        <f t="shared" si="41"/>
        <v>0</v>
      </c>
      <c r="K153" s="24">
        <f t="shared" si="41"/>
        <v>0</v>
      </c>
      <c r="L153" s="24">
        <f t="shared" si="41"/>
        <v>0</v>
      </c>
      <c r="M153" s="24">
        <f t="shared" si="41"/>
        <v>0</v>
      </c>
      <c r="N153" s="24">
        <f t="shared" si="41"/>
        <v>0</v>
      </c>
      <c r="O153" s="24">
        <f t="shared" si="41"/>
        <v>0</v>
      </c>
      <c r="P153" s="24">
        <f t="shared" si="41"/>
        <v>0</v>
      </c>
      <c r="Q153" s="24">
        <f t="shared" si="41"/>
        <v>0</v>
      </c>
      <c r="R153" s="24">
        <f t="shared" si="41"/>
        <v>0</v>
      </c>
      <c r="S153" s="24">
        <f t="shared" si="41"/>
        <v>0</v>
      </c>
      <c r="T153" s="24">
        <f t="shared" si="41"/>
        <v>0</v>
      </c>
      <c r="U153" s="24">
        <f t="shared" si="41"/>
        <v>0</v>
      </c>
      <c r="V153" s="24">
        <f t="shared" si="41"/>
        <v>0</v>
      </c>
      <c r="W153" s="24">
        <f t="shared" si="41"/>
        <v>0</v>
      </c>
      <c r="X153" s="24">
        <f t="shared" si="41"/>
        <v>0</v>
      </c>
      <c r="Y153" s="24">
        <f t="shared" si="41"/>
        <v>0</v>
      </c>
      <c r="Z153" s="24">
        <f t="shared" si="41"/>
        <v>0</v>
      </c>
      <c r="AA153" s="24">
        <f t="shared" si="41"/>
        <v>0</v>
      </c>
      <c r="AB153" s="24">
        <f t="shared" si="41"/>
        <v>0</v>
      </c>
      <c r="AC153" s="24">
        <f t="shared" si="41"/>
        <v>0</v>
      </c>
      <c r="AD153" s="24">
        <f t="shared" si="41"/>
        <v>0</v>
      </c>
      <c r="AE153" s="24">
        <f t="shared" si="41"/>
        <v>0</v>
      </c>
      <c r="AF153" s="24">
        <f t="shared" si="41"/>
        <v>0</v>
      </c>
      <c r="AG153" s="24">
        <f t="shared" si="41"/>
        <v>0</v>
      </c>
      <c r="AH153" s="24">
        <f t="shared" si="41"/>
        <v>0</v>
      </c>
      <c r="AI153" s="24">
        <f t="shared" si="41"/>
        <v>0</v>
      </c>
      <c r="AJ153" s="24">
        <f t="shared" si="41"/>
        <v>0</v>
      </c>
      <c r="AK153" s="24">
        <f t="shared" si="41"/>
        <v>0</v>
      </c>
      <c r="AL153" s="24">
        <f t="shared" si="41"/>
        <v>0</v>
      </c>
      <c r="AM153" s="24">
        <f t="shared" si="41"/>
        <v>0</v>
      </c>
      <c r="AN153" s="24">
        <f t="shared" si="41"/>
        <v>0</v>
      </c>
      <c r="AO153" s="24">
        <f t="shared" si="41"/>
        <v>0</v>
      </c>
      <c r="AP153" s="24">
        <f t="shared" si="41"/>
        <v>0</v>
      </c>
    </row>
    <row r="154" spans="1:42" hidden="1" outlineLevel="1">
      <c r="A154" s="31">
        <f t="shared" si="40"/>
        <v>0</v>
      </c>
      <c r="B154" s="30">
        <f>IF(Cuestionario!$C$70="si",0,+Catálogo!S11)</f>
        <v>0</v>
      </c>
      <c r="G154" s="24">
        <f t="shared" si="41"/>
        <v>0</v>
      </c>
      <c r="H154" s="24">
        <f t="shared" si="41"/>
        <v>0</v>
      </c>
      <c r="I154" s="24">
        <f t="shared" si="41"/>
        <v>0</v>
      </c>
      <c r="J154" s="24">
        <f t="shared" si="41"/>
        <v>0</v>
      </c>
      <c r="K154" s="24">
        <f t="shared" si="41"/>
        <v>0</v>
      </c>
      <c r="L154" s="24">
        <f t="shared" si="41"/>
        <v>0</v>
      </c>
      <c r="M154" s="24">
        <f t="shared" si="41"/>
        <v>0</v>
      </c>
      <c r="N154" s="24">
        <f t="shared" si="41"/>
        <v>0</v>
      </c>
      <c r="O154" s="24">
        <f t="shared" si="41"/>
        <v>0</v>
      </c>
      <c r="P154" s="24">
        <f t="shared" si="41"/>
        <v>0</v>
      </c>
      <c r="Q154" s="24">
        <f t="shared" si="41"/>
        <v>0</v>
      </c>
      <c r="R154" s="24">
        <f t="shared" si="41"/>
        <v>0</v>
      </c>
      <c r="S154" s="24">
        <f t="shared" si="41"/>
        <v>0</v>
      </c>
      <c r="T154" s="24">
        <f t="shared" si="41"/>
        <v>0</v>
      </c>
      <c r="U154" s="24">
        <f t="shared" si="41"/>
        <v>0</v>
      </c>
      <c r="V154" s="24">
        <f t="shared" si="41"/>
        <v>0</v>
      </c>
      <c r="W154" s="24">
        <f t="shared" si="41"/>
        <v>0</v>
      </c>
      <c r="X154" s="24">
        <f t="shared" si="41"/>
        <v>0</v>
      </c>
      <c r="Y154" s="24">
        <f t="shared" si="41"/>
        <v>0</v>
      </c>
      <c r="Z154" s="24">
        <f t="shared" si="41"/>
        <v>0</v>
      </c>
      <c r="AA154" s="24">
        <f t="shared" si="41"/>
        <v>0</v>
      </c>
      <c r="AB154" s="24">
        <f t="shared" si="41"/>
        <v>0</v>
      </c>
      <c r="AC154" s="24">
        <f t="shared" si="41"/>
        <v>0</v>
      </c>
      <c r="AD154" s="24">
        <f t="shared" si="41"/>
        <v>0</v>
      </c>
      <c r="AE154" s="24">
        <f t="shared" si="41"/>
        <v>0</v>
      </c>
      <c r="AF154" s="24">
        <f t="shared" si="41"/>
        <v>0</v>
      </c>
      <c r="AG154" s="24">
        <f t="shared" si="41"/>
        <v>0</v>
      </c>
      <c r="AH154" s="24">
        <f t="shared" si="41"/>
        <v>0</v>
      </c>
      <c r="AI154" s="24">
        <f t="shared" si="41"/>
        <v>0</v>
      </c>
      <c r="AJ154" s="24">
        <f t="shared" si="41"/>
        <v>0</v>
      </c>
      <c r="AK154" s="24">
        <f t="shared" si="41"/>
        <v>0</v>
      </c>
      <c r="AL154" s="24">
        <f t="shared" si="41"/>
        <v>0</v>
      </c>
      <c r="AM154" s="24">
        <f t="shared" si="41"/>
        <v>0</v>
      </c>
      <c r="AN154" s="24">
        <f t="shared" si="41"/>
        <v>0</v>
      </c>
      <c r="AO154" s="24">
        <f t="shared" si="41"/>
        <v>0</v>
      </c>
      <c r="AP154" s="24">
        <f t="shared" si="41"/>
        <v>0</v>
      </c>
    </row>
    <row r="155" spans="1:42" hidden="1" outlineLevel="1">
      <c r="A155" s="31">
        <f t="shared" si="40"/>
        <v>0</v>
      </c>
      <c r="B155" s="30">
        <f>IF(Cuestionario!$C$70="si",0,+Catálogo!S12)</f>
        <v>0</v>
      </c>
      <c r="G155" s="24">
        <f t="shared" si="41"/>
        <v>0</v>
      </c>
      <c r="H155" s="24">
        <f t="shared" si="41"/>
        <v>0</v>
      </c>
      <c r="I155" s="24">
        <f t="shared" si="41"/>
        <v>0</v>
      </c>
      <c r="J155" s="24">
        <f t="shared" si="41"/>
        <v>0</v>
      </c>
      <c r="K155" s="24">
        <f t="shared" si="41"/>
        <v>0</v>
      </c>
      <c r="L155" s="24">
        <f t="shared" si="41"/>
        <v>0</v>
      </c>
      <c r="M155" s="24">
        <f t="shared" si="41"/>
        <v>0</v>
      </c>
      <c r="N155" s="24">
        <f t="shared" si="41"/>
        <v>0</v>
      </c>
      <c r="O155" s="24">
        <f t="shared" si="41"/>
        <v>0</v>
      </c>
      <c r="P155" s="24">
        <f t="shared" si="41"/>
        <v>0</v>
      </c>
      <c r="Q155" s="24">
        <f t="shared" si="41"/>
        <v>0</v>
      </c>
      <c r="R155" s="24">
        <f t="shared" si="41"/>
        <v>0</v>
      </c>
      <c r="S155" s="24">
        <f t="shared" si="41"/>
        <v>0</v>
      </c>
      <c r="T155" s="24">
        <f t="shared" si="41"/>
        <v>0</v>
      </c>
      <c r="U155" s="24">
        <f t="shared" si="41"/>
        <v>0</v>
      </c>
      <c r="V155" s="24">
        <f t="shared" si="41"/>
        <v>0</v>
      </c>
      <c r="W155" s="24">
        <f t="shared" si="41"/>
        <v>0</v>
      </c>
      <c r="X155" s="24">
        <f t="shared" si="41"/>
        <v>0</v>
      </c>
      <c r="Y155" s="24">
        <f t="shared" si="41"/>
        <v>0</v>
      </c>
      <c r="Z155" s="24">
        <f t="shared" si="41"/>
        <v>0</v>
      </c>
      <c r="AA155" s="24">
        <f t="shared" si="41"/>
        <v>0</v>
      </c>
      <c r="AB155" s="24">
        <f t="shared" si="41"/>
        <v>0</v>
      </c>
      <c r="AC155" s="24">
        <f t="shared" si="41"/>
        <v>0</v>
      </c>
      <c r="AD155" s="24">
        <f t="shared" si="41"/>
        <v>0</v>
      </c>
      <c r="AE155" s="24">
        <f t="shared" si="41"/>
        <v>0</v>
      </c>
      <c r="AF155" s="24">
        <f t="shared" si="41"/>
        <v>0</v>
      </c>
      <c r="AG155" s="24">
        <f t="shared" si="41"/>
        <v>0</v>
      </c>
      <c r="AH155" s="24">
        <f t="shared" si="41"/>
        <v>0</v>
      </c>
      <c r="AI155" s="24">
        <f t="shared" si="41"/>
        <v>0</v>
      </c>
      <c r="AJ155" s="24">
        <f t="shared" si="41"/>
        <v>0</v>
      </c>
      <c r="AK155" s="24">
        <f t="shared" si="41"/>
        <v>0</v>
      </c>
      <c r="AL155" s="24">
        <f t="shared" si="41"/>
        <v>0</v>
      </c>
      <c r="AM155" s="24">
        <f t="shared" si="41"/>
        <v>0</v>
      </c>
      <c r="AN155" s="24">
        <f t="shared" si="41"/>
        <v>0</v>
      </c>
      <c r="AO155" s="24">
        <f t="shared" si="41"/>
        <v>0</v>
      </c>
      <c r="AP155" s="24">
        <f t="shared" si="41"/>
        <v>0</v>
      </c>
    </row>
    <row r="156" spans="1:42" hidden="1" outlineLevel="1">
      <c r="A156" s="31">
        <f t="shared" si="40"/>
        <v>0</v>
      </c>
      <c r="B156" s="30">
        <f>IF(Cuestionario!$C$70="si",0,+Catálogo!S13)</f>
        <v>0</v>
      </c>
      <c r="G156" s="24">
        <f t="shared" si="41"/>
        <v>0</v>
      </c>
      <c r="H156" s="24">
        <f t="shared" si="41"/>
        <v>0</v>
      </c>
      <c r="I156" s="24">
        <f t="shared" si="41"/>
        <v>0</v>
      </c>
      <c r="J156" s="24">
        <f t="shared" si="41"/>
        <v>0</v>
      </c>
      <c r="K156" s="24">
        <f t="shared" si="41"/>
        <v>0</v>
      </c>
      <c r="L156" s="24">
        <f t="shared" si="41"/>
        <v>0</v>
      </c>
      <c r="M156" s="24">
        <f t="shared" si="41"/>
        <v>0</v>
      </c>
      <c r="N156" s="24">
        <f t="shared" si="41"/>
        <v>0</v>
      </c>
      <c r="O156" s="24">
        <f t="shared" si="41"/>
        <v>0</v>
      </c>
      <c r="P156" s="24">
        <f t="shared" si="41"/>
        <v>0</v>
      </c>
      <c r="Q156" s="24">
        <f t="shared" si="41"/>
        <v>0</v>
      </c>
      <c r="R156" s="24">
        <f t="shared" si="41"/>
        <v>0</v>
      </c>
      <c r="S156" s="24">
        <f t="shared" si="41"/>
        <v>0</v>
      </c>
      <c r="T156" s="24">
        <f t="shared" si="41"/>
        <v>0</v>
      </c>
      <c r="U156" s="24">
        <f t="shared" si="41"/>
        <v>0</v>
      </c>
      <c r="V156" s="24">
        <f t="shared" si="41"/>
        <v>0</v>
      </c>
      <c r="W156" s="24">
        <f t="shared" si="41"/>
        <v>0</v>
      </c>
      <c r="X156" s="24">
        <f t="shared" si="41"/>
        <v>0</v>
      </c>
      <c r="Y156" s="24">
        <f t="shared" si="41"/>
        <v>0</v>
      </c>
      <c r="Z156" s="24">
        <f t="shared" si="41"/>
        <v>0</v>
      </c>
      <c r="AA156" s="24">
        <f t="shared" si="41"/>
        <v>0</v>
      </c>
      <c r="AB156" s="24">
        <f t="shared" si="41"/>
        <v>0</v>
      </c>
      <c r="AC156" s="24">
        <f t="shared" si="41"/>
        <v>0</v>
      </c>
      <c r="AD156" s="24">
        <f t="shared" si="41"/>
        <v>0</v>
      </c>
      <c r="AE156" s="24">
        <f t="shared" si="41"/>
        <v>0</v>
      </c>
      <c r="AF156" s="24">
        <f t="shared" si="41"/>
        <v>0</v>
      </c>
      <c r="AG156" s="24">
        <f t="shared" si="41"/>
        <v>0</v>
      </c>
      <c r="AH156" s="24">
        <f t="shared" si="41"/>
        <v>0</v>
      </c>
      <c r="AI156" s="24">
        <f t="shared" si="41"/>
        <v>0</v>
      </c>
      <c r="AJ156" s="24">
        <f t="shared" si="41"/>
        <v>0</v>
      </c>
      <c r="AK156" s="24">
        <f t="shared" si="41"/>
        <v>0</v>
      </c>
      <c r="AL156" s="24">
        <f t="shared" si="41"/>
        <v>0</v>
      </c>
      <c r="AM156" s="24">
        <f t="shared" si="41"/>
        <v>0</v>
      </c>
      <c r="AN156" s="24">
        <f t="shared" si="41"/>
        <v>0</v>
      </c>
      <c r="AO156" s="24">
        <f t="shared" si="41"/>
        <v>0</v>
      </c>
      <c r="AP156" s="24">
        <f t="shared" si="41"/>
        <v>0</v>
      </c>
    </row>
    <row r="157" spans="1:42" hidden="1" outlineLevel="1">
      <c r="A157" s="31">
        <f t="shared" si="40"/>
        <v>0</v>
      </c>
      <c r="B157" s="30">
        <f>IF(Cuestionario!$C$70="si",0,+Catálogo!S14)</f>
        <v>0</v>
      </c>
      <c r="G157" s="24">
        <f t="shared" si="41"/>
        <v>0</v>
      </c>
      <c r="H157" s="24">
        <f t="shared" si="41"/>
        <v>0</v>
      </c>
      <c r="I157" s="24">
        <f t="shared" si="41"/>
        <v>0</v>
      </c>
      <c r="J157" s="24">
        <f t="shared" ref="J157:AP157" si="42">+J140*$B157</f>
        <v>0</v>
      </c>
      <c r="K157" s="24">
        <f t="shared" si="42"/>
        <v>0</v>
      </c>
      <c r="L157" s="24">
        <f t="shared" si="42"/>
        <v>0</v>
      </c>
      <c r="M157" s="24">
        <f t="shared" si="42"/>
        <v>0</v>
      </c>
      <c r="N157" s="24">
        <f t="shared" si="42"/>
        <v>0</v>
      </c>
      <c r="O157" s="24">
        <f t="shared" si="42"/>
        <v>0</v>
      </c>
      <c r="P157" s="24">
        <f t="shared" si="42"/>
        <v>0</v>
      </c>
      <c r="Q157" s="24">
        <f t="shared" si="42"/>
        <v>0</v>
      </c>
      <c r="R157" s="24">
        <f t="shared" si="42"/>
        <v>0</v>
      </c>
      <c r="S157" s="24">
        <f t="shared" si="42"/>
        <v>0</v>
      </c>
      <c r="T157" s="24">
        <f t="shared" si="42"/>
        <v>0</v>
      </c>
      <c r="U157" s="24">
        <f t="shared" si="42"/>
        <v>0</v>
      </c>
      <c r="V157" s="24">
        <f t="shared" si="42"/>
        <v>0</v>
      </c>
      <c r="W157" s="24">
        <f t="shared" si="42"/>
        <v>0</v>
      </c>
      <c r="X157" s="24">
        <f t="shared" si="42"/>
        <v>0</v>
      </c>
      <c r="Y157" s="24">
        <f t="shared" si="42"/>
        <v>0</v>
      </c>
      <c r="Z157" s="24">
        <f t="shared" si="42"/>
        <v>0</v>
      </c>
      <c r="AA157" s="24">
        <f t="shared" si="42"/>
        <v>0</v>
      </c>
      <c r="AB157" s="24">
        <f t="shared" si="42"/>
        <v>0</v>
      </c>
      <c r="AC157" s="24">
        <f t="shared" si="42"/>
        <v>0</v>
      </c>
      <c r="AD157" s="24">
        <f t="shared" si="42"/>
        <v>0</v>
      </c>
      <c r="AE157" s="24">
        <f t="shared" si="42"/>
        <v>0</v>
      </c>
      <c r="AF157" s="24">
        <f t="shared" si="42"/>
        <v>0</v>
      </c>
      <c r="AG157" s="24">
        <f t="shared" si="42"/>
        <v>0</v>
      </c>
      <c r="AH157" s="24">
        <f t="shared" si="42"/>
        <v>0</v>
      </c>
      <c r="AI157" s="24">
        <f t="shared" si="42"/>
        <v>0</v>
      </c>
      <c r="AJ157" s="24">
        <f t="shared" si="42"/>
        <v>0</v>
      </c>
      <c r="AK157" s="24">
        <f t="shared" si="42"/>
        <v>0</v>
      </c>
      <c r="AL157" s="24">
        <f t="shared" si="42"/>
        <v>0</v>
      </c>
      <c r="AM157" s="24">
        <f t="shared" si="42"/>
        <v>0</v>
      </c>
      <c r="AN157" s="24">
        <f t="shared" si="42"/>
        <v>0</v>
      </c>
      <c r="AO157" s="24">
        <f t="shared" si="42"/>
        <v>0</v>
      </c>
      <c r="AP157" s="24">
        <f t="shared" si="42"/>
        <v>0</v>
      </c>
    </row>
    <row r="158" spans="1:42" hidden="1" outlineLevel="1">
      <c r="A158" s="31">
        <f t="shared" si="40"/>
        <v>0</v>
      </c>
      <c r="B158" s="30">
        <f>IF(Cuestionario!$C$70="si",0,+Catálogo!S15)</f>
        <v>0</v>
      </c>
      <c r="G158" s="24">
        <f t="shared" ref="G158:AP162" si="43">+G141*$B158</f>
        <v>0</v>
      </c>
      <c r="H158" s="24">
        <f t="shared" si="43"/>
        <v>0</v>
      </c>
      <c r="I158" s="24">
        <f t="shared" si="43"/>
        <v>0</v>
      </c>
      <c r="J158" s="24">
        <f t="shared" si="43"/>
        <v>0</v>
      </c>
      <c r="K158" s="24">
        <f t="shared" si="43"/>
        <v>0</v>
      </c>
      <c r="L158" s="24">
        <f t="shared" si="43"/>
        <v>0</v>
      </c>
      <c r="M158" s="24">
        <f t="shared" si="43"/>
        <v>0</v>
      </c>
      <c r="N158" s="24">
        <f t="shared" si="43"/>
        <v>0</v>
      </c>
      <c r="O158" s="24">
        <f t="shared" si="43"/>
        <v>0</v>
      </c>
      <c r="P158" s="24">
        <f t="shared" si="43"/>
        <v>0</v>
      </c>
      <c r="Q158" s="24">
        <f t="shared" si="43"/>
        <v>0</v>
      </c>
      <c r="R158" s="24">
        <f t="shared" si="43"/>
        <v>0</v>
      </c>
      <c r="S158" s="24">
        <f t="shared" si="43"/>
        <v>0</v>
      </c>
      <c r="T158" s="24">
        <f t="shared" si="43"/>
        <v>0</v>
      </c>
      <c r="U158" s="24">
        <f t="shared" si="43"/>
        <v>0</v>
      </c>
      <c r="V158" s="24">
        <f t="shared" si="43"/>
        <v>0</v>
      </c>
      <c r="W158" s="24">
        <f t="shared" si="43"/>
        <v>0</v>
      </c>
      <c r="X158" s="24">
        <f t="shared" si="43"/>
        <v>0</v>
      </c>
      <c r="Y158" s="24">
        <f t="shared" si="43"/>
        <v>0</v>
      </c>
      <c r="Z158" s="24">
        <f t="shared" si="43"/>
        <v>0</v>
      </c>
      <c r="AA158" s="24">
        <f t="shared" si="43"/>
        <v>0</v>
      </c>
      <c r="AB158" s="24">
        <f t="shared" si="43"/>
        <v>0</v>
      </c>
      <c r="AC158" s="24">
        <f t="shared" si="43"/>
        <v>0</v>
      </c>
      <c r="AD158" s="24">
        <f t="shared" si="43"/>
        <v>0</v>
      </c>
      <c r="AE158" s="24">
        <f t="shared" si="43"/>
        <v>0</v>
      </c>
      <c r="AF158" s="24">
        <f t="shared" si="43"/>
        <v>0</v>
      </c>
      <c r="AG158" s="24">
        <f t="shared" si="43"/>
        <v>0</v>
      </c>
      <c r="AH158" s="24">
        <f t="shared" si="43"/>
        <v>0</v>
      </c>
      <c r="AI158" s="24">
        <f t="shared" si="43"/>
        <v>0</v>
      </c>
      <c r="AJ158" s="24">
        <f t="shared" si="43"/>
        <v>0</v>
      </c>
      <c r="AK158" s="24">
        <f t="shared" si="43"/>
        <v>0</v>
      </c>
      <c r="AL158" s="24">
        <f t="shared" si="43"/>
        <v>0</v>
      </c>
      <c r="AM158" s="24">
        <f t="shared" si="43"/>
        <v>0</v>
      </c>
      <c r="AN158" s="24">
        <f t="shared" si="43"/>
        <v>0</v>
      </c>
      <c r="AO158" s="24">
        <f t="shared" si="43"/>
        <v>0</v>
      </c>
      <c r="AP158" s="24">
        <f t="shared" si="43"/>
        <v>0</v>
      </c>
    </row>
    <row r="159" spans="1:42" hidden="1" outlineLevel="1">
      <c r="A159" s="31">
        <f t="shared" si="40"/>
        <v>0</v>
      </c>
      <c r="B159" s="30">
        <f>IF(Cuestionario!$C$70="si",0,+Catálogo!S16)</f>
        <v>0</v>
      </c>
      <c r="G159" s="24">
        <f t="shared" si="43"/>
        <v>0</v>
      </c>
      <c r="H159" s="24">
        <f t="shared" si="43"/>
        <v>0</v>
      </c>
      <c r="I159" s="24">
        <f t="shared" si="43"/>
        <v>0</v>
      </c>
      <c r="J159" s="24">
        <f t="shared" si="43"/>
        <v>0</v>
      </c>
      <c r="K159" s="24">
        <f t="shared" si="43"/>
        <v>0</v>
      </c>
      <c r="L159" s="24">
        <f t="shared" si="43"/>
        <v>0</v>
      </c>
      <c r="M159" s="24">
        <f t="shared" si="43"/>
        <v>0</v>
      </c>
      <c r="N159" s="24">
        <f t="shared" si="43"/>
        <v>0</v>
      </c>
      <c r="O159" s="24">
        <f t="shared" si="43"/>
        <v>0</v>
      </c>
      <c r="P159" s="24">
        <f t="shared" si="43"/>
        <v>0</v>
      </c>
      <c r="Q159" s="24">
        <f t="shared" si="43"/>
        <v>0</v>
      </c>
      <c r="R159" s="24">
        <f t="shared" si="43"/>
        <v>0</v>
      </c>
      <c r="S159" s="24">
        <f t="shared" si="43"/>
        <v>0</v>
      </c>
      <c r="T159" s="24">
        <f t="shared" si="43"/>
        <v>0</v>
      </c>
      <c r="U159" s="24">
        <f t="shared" si="43"/>
        <v>0</v>
      </c>
      <c r="V159" s="24">
        <f t="shared" si="43"/>
        <v>0</v>
      </c>
      <c r="W159" s="24">
        <f t="shared" si="43"/>
        <v>0</v>
      </c>
      <c r="X159" s="24">
        <f t="shared" si="43"/>
        <v>0</v>
      </c>
      <c r="Y159" s="24">
        <f t="shared" si="43"/>
        <v>0</v>
      </c>
      <c r="Z159" s="24">
        <f t="shared" si="43"/>
        <v>0</v>
      </c>
      <c r="AA159" s="24">
        <f t="shared" si="43"/>
        <v>0</v>
      </c>
      <c r="AB159" s="24">
        <f t="shared" si="43"/>
        <v>0</v>
      </c>
      <c r="AC159" s="24">
        <f t="shared" si="43"/>
        <v>0</v>
      </c>
      <c r="AD159" s="24">
        <f t="shared" si="43"/>
        <v>0</v>
      </c>
      <c r="AE159" s="24">
        <f t="shared" si="43"/>
        <v>0</v>
      </c>
      <c r="AF159" s="24">
        <f t="shared" si="43"/>
        <v>0</v>
      </c>
      <c r="AG159" s="24">
        <f t="shared" si="43"/>
        <v>0</v>
      </c>
      <c r="AH159" s="24">
        <f t="shared" si="43"/>
        <v>0</v>
      </c>
      <c r="AI159" s="24">
        <f t="shared" si="43"/>
        <v>0</v>
      </c>
      <c r="AJ159" s="24">
        <f t="shared" si="43"/>
        <v>0</v>
      </c>
      <c r="AK159" s="24">
        <f t="shared" si="43"/>
        <v>0</v>
      </c>
      <c r="AL159" s="24">
        <f t="shared" si="43"/>
        <v>0</v>
      </c>
      <c r="AM159" s="24">
        <f t="shared" si="43"/>
        <v>0</v>
      </c>
      <c r="AN159" s="24">
        <f t="shared" si="43"/>
        <v>0</v>
      </c>
      <c r="AO159" s="24">
        <f t="shared" si="43"/>
        <v>0</v>
      </c>
      <c r="AP159" s="24">
        <f t="shared" si="43"/>
        <v>0</v>
      </c>
    </row>
    <row r="160" spans="1:42" hidden="1" outlineLevel="1">
      <c r="A160" s="31">
        <f t="shared" si="40"/>
        <v>0</v>
      </c>
      <c r="B160" s="30">
        <f>IF(Cuestionario!$C$70="si",0,+Catálogo!S17)</f>
        <v>0</v>
      </c>
      <c r="G160" s="24">
        <f t="shared" si="43"/>
        <v>0</v>
      </c>
      <c r="H160" s="24">
        <f t="shared" si="43"/>
        <v>0</v>
      </c>
      <c r="I160" s="24">
        <f t="shared" si="43"/>
        <v>0</v>
      </c>
      <c r="J160" s="24">
        <f t="shared" si="43"/>
        <v>0</v>
      </c>
      <c r="K160" s="24">
        <f t="shared" si="43"/>
        <v>0</v>
      </c>
      <c r="L160" s="24">
        <f t="shared" si="43"/>
        <v>0</v>
      </c>
      <c r="M160" s="24">
        <f t="shared" si="43"/>
        <v>0</v>
      </c>
      <c r="N160" s="24">
        <f t="shared" si="43"/>
        <v>0</v>
      </c>
      <c r="O160" s="24">
        <f t="shared" si="43"/>
        <v>0</v>
      </c>
      <c r="P160" s="24">
        <f t="shared" si="43"/>
        <v>0</v>
      </c>
      <c r="Q160" s="24">
        <f t="shared" si="43"/>
        <v>0</v>
      </c>
      <c r="R160" s="24">
        <f t="shared" si="43"/>
        <v>0</v>
      </c>
      <c r="S160" s="24">
        <f t="shared" si="43"/>
        <v>0</v>
      </c>
      <c r="T160" s="24">
        <f t="shared" si="43"/>
        <v>0</v>
      </c>
      <c r="U160" s="24">
        <f t="shared" si="43"/>
        <v>0</v>
      </c>
      <c r="V160" s="24">
        <f t="shared" si="43"/>
        <v>0</v>
      </c>
      <c r="W160" s="24">
        <f t="shared" si="43"/>
        <v>0</v>
      </c>
      <c r="X160" s="24">
        <f t="shared" si="43"/>
        <v>0</v>
      </c>
      <c r="Y160" s="24">
        <f t="shared" si="43"/>
        <v>0</v>
      </c>
      <c r="Z160" s="24">
        <f t="shared" si="43"/>
        <v>0</v>
      </c>
      <c r="AA160" s="24">
        <f t="shared" si="43"/>
        <v>0</v>
      </c>
      <c r="AB160" s="24">
        <f t="shared" si="43"/>
        <v>0</v>
      </c>
      <c r="AC160" s="24">
        <f t="shared" si="43"/>
        <v>0</v>
      </c>
      <c r="AD160" s="24">
        <f t="shared" si="43"/>
        <v>0</v>
      </c>
      <c r="AE160" s="24">
        <f t="shared" si="43"/>
        <v>0</v>
      </c>
      <c r="AF160" s="24">
        <f t="shared" si="43"/>
        <v>0</v>
      </c>
      <c r="AG160" s="24">
        <f t="shared" si="43"/>
        <v>0</v>
      </c>
      <c r="AH160" s="24">
        <f t="shared" si="43"/>
        <v>0</v>
      </c>
      <c r="AI160" s="24">
        <f t="shared" si="43"/>
        <v>0</v>
      </c>
      <c r="AJ160" s="24">
        <f t="shared" si="43"/>
        <v>0</v>
      </c>
      <c r="AK160" s="24">
        <f t="shared" si="43"/>
        <v>0</v>
      </c>
      <c r="AL160" s="24">
        <f t="shared" si="43"/>
        <v>0</v>
      </c>
      <c r="AM160" s="24">
        <f t="shared" si="43"/>
        <v>0</v>
      </c>
      <c r="AN160" s="24">
        <f t="shared" si="43"/>
        <v>0</v>
      </c>
      <c r="AO160" s="24">
        <f t="shared" si="43"/>
        <v>0</v>
      </c>
      <c r="AP160" s="24">
        <f t="shared" si="43"/>
        <v>0</v>
      </c>
    </row>
    <row r="161" spans="1:42" hidden="1" outlineLevel="1">
      <c r="A161" s="31">
        <f t="shared" si="40"/>
        <v>0</v>
      </c>
      <c r="B161" s="30">
        <f>IF(Cuestionario!$C$70="si",0,+Catálogo!S18)</f>
        <v>0</v>
      </c>
      <c r="G161" s="24">
        <f t="shared" si="43"/>
        <v>0</v>
      </c>
      <c r="H161" s="24">
        <f t="shared" si="43"/>
        <v>0</v>
      </c>
      <c r="I161" s="24">
        <f t="shared" si="43"/>
        <v>0</v>
      </c>
      <c r="J161" s="24">
        <f t="shared" si="43"/>
        <v>0</v>
      </c>
      <c r="K161" s="24">
        <f t="shared" si="43"/>
        <v>0</v>
      </c>
      <c r="L161" s="24">
        <f t="shared" si="43"/>
        <v>0</v>
      </c>
      <c r="M161" s="24">
        <f t="shared" si="43"/>
        <v>0</v>
      </c>
      <c r="N161" s="24">
        <f t="shared" si="43"/>
        <v>0</v>
      </c>
      <c r="O161" s="24">
        <f t="shared" si="43"/>
        <v>0</v>
      </c>
      <c r="P161" s="24">
        <f t="shared" si="43"/>
        <v>0</v>
      </c>
      <c r="Q161" s="24">
        <f t="shared" si="43"/>
        <v>0</v>
      </c>
      <c r="R161" s="24">
        <f t="shared" si="43"/>
        <v>0</v>
      </c>
      <c r="S161" s="24">
        <f t="shared" si="43"/>
        <v>0</v>
      </c>
      <c r="T161" s="24">
        <f t="shared" si="43"/>
        <v>0</v>
      </c>
      <c r="U161" s="24">
        <f t="shared" si="43"/>
        <v>0</v>
      </c>
      <c r="V161" s="24">
        <f t="shared" si="43"/>
        <v>0</v>
      </c>
      <c r="W161" s="24">
        <f t="shared" si="43"/>
        <v>0</v>
      </c>
      <c r="X161" s="24">
        <f t="shared" si="43"/>
        <v>0</v>
      </c>
      <c r="Y161" s="24">
        <f t="shared" si="43"/>
        <v>0</v>
      </c>
      <c r="Z161" s="24">
        <f t="shared" si="43"/>
        <v>0</v>
      </c>
      <c r="AA161" s="24">
        <f t="shared" si="43"/>
        <v>0</v>
      </c>
      <c r="AB161" s="24">
        <f t="shared" si="43"/>
        <v>0</v>
      </c>
      <c r="AC161" s="24">
        <f t="shared" si="43"/>
        <v>0</v>
      </c>
      <c r="AD161" s="24">
        <f t="shared" si="43"/>
        <v>0</v>
      </c>
      <c r="AE161" s="24">
        <f t="shared" si="43"/>
        <v>0</v>
      </c>
      <c r="AF161" s="24">
        <f t="shared" si="43"/>
        <v>0</v>
      </c>
      <c r="AG161" s="24">
        <f t="shared" si="43"/>
        <v>0</v>
      </c>
      <c r="AH161" s="24">
        <f t="shared" si="43"/>
        <v>0</v>
      </c>
      <c r="AI161" s="24">
        <f t="shared" si="43"/>
        <v>0</v>
      </c>
      <c r="AJ161" s="24">
        <f t="shared" si="43"/>
        <v>0</v>
      </c>
      <c r="AK161" s="24">
        <f t="shared" si="43"/>
        <v>0</v>
      </c>
      <c r="AL161" s="24">
        <f t="shared" si="43"/>
        <v>0</v>
      </c>
      <c r="AM161" s="24">
        <f t="shared" si="43"/>
        <v>0</v>
      </c>
      <c r="AN161" s="24">
        <f t="shared" si="43"/>
        <v>0</v>
      </c>
      <c r="AO161" s="24">
        <f t="shared" si="43"/>
        <v>0</v>
      </c>
      <c r="AP161" s="24">
        <f t="shared" si="43"/>
        <v>0</v>
      </c>
    </row>
    <row r="162" spans="1:42" hidden="1" outlineLevel="1">
      <c r="A162" s="31">
        <f t="shared" si="40"/>
        <v>0</v>
      </c>
      <c r="B162" s="30">
        <f>IF(Cuestionario!$C$70="si",0,+Catálogo!S19)</f>
        <v>0</v>
      </c>
      <c r="G162" s="24">
        <f t="shared" si="43"/>
        <v>0</v>
      </c>
      <c r="H162" s="24">
        <f t="shared" si="43"/>
        <v>0</v>
      </c>
      <c r="I162" s="24">
        <f t="shared" si="43"/>
        <v>0</v>
      </c>
      <c r="J162" s="24">
        <f t="shared" si="43"/>
        <v>0</v>
      </c>
      <c r="K162" s="24">
        <f t="shared" si="43"/>
        <v>0</v>
      </c>
      <c r="L162" s="24">
        <f t="shared" si="43"/>
        <v>0</v>
      </c>
      <c r="M162" s="24">
        <f t="shared" si="43"/>
        <v>0</v>
      </c>
      <c r="N162" s="24">
        <f t="shared" si="43"/>
        <v>0</v>
      </c>
      <c r="O162" s="24">
        <f t="shared" si="43"/>
        <v>0</v>
      </c>
      <c r="P162" s="24">
        <f t="shared" si="43"/>
        <v>0</v>
      </c>
      <c r="Q162" s="24">
        <f t="shared" si="43"/>
        <v>0</v>
      </c>
      <c r="R162" s="24">
        <f t="shared" si="43"/>
        <v>0</v>
      </c>
      <c r="S162" s="24">
        <f t="shared" si="43"/>
        <v>0</v>
      </c>
      <c r="T162" s="24">
        <f t="shared" si="43"/>
        <v>0</v>
      </c>
      <c r="U162" s="24">
        <f t="shared" si="43"/>
        <v>0</v>
      </c>
      <c r="V162" s="24">
        <f t="shared" si="43"/>
        <v>0</v>
      </c>
      <c r="W162" s="24">
        <f t="shared" si="43"/>
        <v>0</v>
      </c>
      <c r="X162" s="24">
        <f t="shared" si="43"/>
        <v>0</v>
      </c>
      <c r="Y162" s="24">
        <f t="shared" si="43"/>
        <v>0</v>
      </c>
      <c r="Z162" s="24">
        <f t="shared" si="43"/>
        <v>0</v>
      </c>
      <c r="AA162" s="24">
        <f t="shared" si="43"/>
        <v>0</v>
      </c>
      <c r="AB162" s="24">
        <f t="shared" si="43"/>
        <v>0</v>
      </c>
      <c r="AC162" s="24">
        <f t="shared" si="43"/>
        <v>0</v>
      </c>
      <c r="AD162" s="24">
        <f t="shared" si="43"/>
        <v>0</v>
      </c>
      <c r="AE162" s="24">
        <f t="shared" si="43"/>
        <v>0</v>
      </c>
      <c r="AF162" s="24">
        <f t="shared" si="43"/>
        <v>0</v>
      </c>
      <c r="AG162" s="24">
        <f t="shared" si="43"/>
        <v>0</v>
      </c>
      <c r="AH162" s="24">
        <f t="shared" si="43"/>
        <v>0</v>
      </c>
      <c r="AI162" s="24">
        <f t="shared" si="43"/>
        <v>0</v>
      </c>
      <c r="AJ162" s="24">
        <f t="shared" si="43"/>
        <v>0</v>
      </c>
      <c r="AK162" s="24">
        <f t="shared" si="43"/>
        <v>0</v>
      </c>
      <c r="AL162" s="24">
        <f t="shared" si="43"/>
        <v>0</v>
      </c>
      <c r="AM162" s="24">
        <f t="shared" si="43"/>
        <v>0</v>
      </c>
      <c r="AN162" s="24">
        <f t="shared" si="43"/>
        <v>0</v>
      </c>
      <c r="AO162" s="24">
        <f t="shared" si="43"/>
        <v>0</v>
      </c>
      <c r="AP162" s="24">
        <f t="shared" si="43"/>
        <v>0</v>
      </c>
    </row>
    <row r="163" spans="1:42" s="26" customFormat="1" collapsed="1">
      <c r="A163" s="26" t="s">
        <v>217</v>
      </c>
      <c r="B163" s="29"/>
      <c r="G163" s="27">
        <f t="shared" ref="G163:AP163" si="44">SUM(G149:G162)</f>
        <v>0</v>
      </c>
      <c r="H163" s="27">
        <f t="shared" si="44"/>
        <v>0</v>
      </c>
      <c r="I163" s="27">
        <f t="shared" si="44"/>
        <v>0</v>
      </c>
      <c r="J163" s="27">
        <f t="shared" si="44"/>
        <v>0</v>
      </c>
      <c r="K163" s="27">
        <f t="shared" si="44"/>
        <v>0</v>
      </c>
      <c r="L163" s="27">
        <f t="shared" si="44"/>
        <v>0</v>
      </c>
      <c r="M163" s="27">
        <f t="shared" si="44"/>
        <v>0</v>
      </c>
      <c r="N163" s="27">
        <f t="shared" si="44"/>
        <v>0</v>
      </c>
      <c r="O163" s="27">
        <f t="shared" si="44"/>
        <v>0</v>
      </c>
      <c r="P163" s="27">
        <f t="shared" si="44"/>
        <v>0</v>
      </c>
      <c r="Q163" s="27">
        <f t="shared" si="44"/>
        <v>0</v>
      </c>
      <c r="R163" s="27">
        <f t="shared" si="44"/>
        <v>0</v>
      </c>
      <c r="S163" s="27">
        <f t="shared" si="44"/>
        <v>0</v>
      </c>
      <c r="T163" s="27">
        <f t="shared" si="44"/>
        <v>0</v>
      </c>
      <c r="U163" s="27">
        <f t="shared" si="44"/>
        <v>0</v>
      </c>
      <c r="V163" s="27">
        <f t="shared" si="44"/>
        <v>0</v>
      </c>
      <c r="W163" s="27">
        <f t="shared" si="44"/>
        <v>0</v>
      </c>
      <c r="X163" s="27">
        <f t="shared" si="44"/>
        <v>0</v>
      </c>
      <c r="Y163" s="27">
        <f t="shared" si="44"/>
        <v>0</v>
      </c>
      <c r="Z163" s="27">
        <f t="shared" si="44"/>
        <v>0</v>
      </c>
      <c r="AA163" s="27">
        <f t="shared" si="44"/>
        <v>0</v>
      </c>
      <c r="AB163" s="27">
        <f t="shared" si="44"/>
        <v>0</v>
      </c>
      <c r="AC163" s="27">
        <f t="shared" si="44"/>
        <v>0</v>
      </c>
      <c r="AD163" s="27">
        <f t="shared" si="44"/>
        <v>0</v>
      </c>
      <c r="AE163" s="27">
        <f t="shared" si="44"/>
        <v>0</v>
      </c>
      <c r="AF163" s="27">
        <f t="shared" si="44"/>
        <v>0</v>
      </c>
      <c r="AG163" s="27">
        <f t="shared" si="44"/>
        <v>0</v>
      </c>
      <c r="AH163" s="27">
        <f t="shared" si="44"/>
        <v>0</v>
      </c>
      <c r="AI163" s="27">
        <f t="shared" si="44"/>
        <v>0</v>
      </c>
      <c r="AJ163" s="27">
        <f t="shared" si="44"/>
        <v>0</v>
      </c>
      <c r="AK163" s="27">
        <f t="shared" si="44"/>
        <v>0</v>
      </c>
      <c r="AL163" s="27">
        <f t="shared" si="44"/>
        <v>0</v>
      </c>
      <c r="AM163" s="27">
        <f t="shared" si="44"/>
        <v>0</v>
      </c>
      <c r="AN163" s="27">
        <f t="shared" si="44"/>
        <v>0</v>
      </c>
      <c r="AO163" s="27">
        <f t="shared" si="44"/>
        <v>0</v>
      </c>
      <c r="AP163" s="27">
        <f t="shared" si="44"/>
        <v>0</v>
      </c>
    </row>
    <row r="165" spans="1:42">
      <c r="A165" s="21" t="s">
        <v>225</v>
      </c>
      <c r="G165" s="31">
        <f>+G17+G49-G33-G65</f>
        <v>0</v>
      </c>
      <c r="H165" s="31">
        <f t="shared" ref="H165:AP165" si="45">+H17+H49-H33-H65</f>
        <v>0</v>
      </c>
      <c r="I165" s="31">
        <f t="shared" si="45"/>
        <v>0</v>
      </c>
      <c r="J165" s="31">
        <f t="shared" si="45"/>
        <v>0</v>
      </c>
      <c r="K165" s="31">
        <f t="shared" si="45"/>
        <v>0</v>
      </c>
      <c r="L165" s="31">
        <f t="shared" si="45"/>
        <v>0</v>
      </c>
      <c r="M165" s="31">
        <f t="shared" si="45"/>
        <v>0</v>
      </c>
      <c r="N165" s="31">
        <f t="shared" si="45"/>
        <v>0</v>
      </c>
      <c r="O165" s="31">
        <f t="shared" si="45"/>
        <v>0</v>
      </c>
      <c r="P165" s="31">
        <f t="shared" si="45"/>
        <v>0</v>
      </c>
      <c r="Q165" s="31">
        <f t="shared" si="45"/>
        <v>0</v>
      </c>
      <c r="R165" s="31">
        <f>+R17+R49-R33-R65</f>
        <v>0</v>
      </c>
      <c r="S165" s="31">
        <f t="shared" si="45"/>
        <v>0</v>
      </c>
      <c r="T165" s="31">
        <f t="shared" si="45"/>
        <v>0</v>
      </c>
      <c r="U165" s="31">
        <f t="shared" si="45"/>
        <v>0</v>
      </c>
      <c r="V165" s="31">
        <f t="shared" si="45"/>
        <v>0</v>
      </c>
      <c r="W165" s="31">
        <f t="shared" si="45"/>
        <v>0</v>
      </c>
      <c r="X165" s="31">
        <f t="shared" si="45"/>
        <v>0</v>
      </c>
      <c r="Y165" s="31">
        <f t="shared" si="45"/>
        <v>0</v>
      </c>
      <c r="Z165" s="31">
        <f t="shared" si="45"/>
        <v>0</v>
      </c>
      <c r="AA165" s="31">
        <f t="shared" si="45"/>
        <v>0</v>
      </c>
      <c r="AB165" s="31">
        <f t="shared" si="45"/>
        <v>0</v>
      </c>
      <c r="AC165" s="31">
        <f t="shared" si="45"/>
        <v>0</v>
      </c>
      <c r="AD165" s="31">
        <f t="shared" si="45"/>
        <v>0</v>
      </c>
      <c r="AE165" s="31">
        <f t="shared" si="45"/>
        <v>0</v>
      </c>
      <c r="AF165" s="31">
        <f t="shared" si="45"/>
        <v>0</v>
      </c>
      <c r="AG165" s="31">
        <f t="shared" si="45"/>
        <v>0</v>
      </c>
      <c r="AH165" s="31">
        <f t="shared" si="45"/>
        <v>0</v>
      </c>
      <c r="AI165" s="31">
        <f t="shared" si="45"/>
        <v>0</v>
      </c>
      <c r="AJ165" s="31">
        <f t="shared" si="45"/>
        <v>0</v>
      </c>
      <c r="AK165" s="31">
        <f t="shared" si="45"/>
        <v>0</v>
      </c>
      <c r="AL165" s="31">
        <f t="shared" si="45"/>
        <v>0</v>
      </c>
      <c r="AM165" s="31">
        <f t="shared" si="45"/>
        <v>0</v>
      </c>
      <c r="AN165" s="31">
        <f t="shared" si="45"/>
        <v>0</v>
      </c>
      <c r="AO165" s="31">
        <f t="shared" si="45"/>
        <v>0</v>
      </c>
      <c r="AP165" s="31">
        <f t="shared" si="45"/>
        <v>0</v>
      </c>
    </row>
    <row r="166" spans="1:42">
      <c r="A166" s="21" t="s">
        <v>574</v>
      </c>
      <c r="G166" s="31">
        <f>+G82+G114-G98-G130</f>
        <v>0</v>
      </c>
      <c r="H166" s="31">
        <f t="shared" ref="H166:AP166" si="46">+H82+H114-H98-H130</f>
        <v>0</v>
      </c>
      <c r="I166" s="31">
        <f t="shared" si="46"/>
        <v>0</v>
      </c>
      <c r="J166" s="31">
        <f t="shared" si="46"/>
        <v>0</v>
      </c>
      <c r="K166" s="31">
        <f t="shared" si="46"/>
        <v>0</v>
      </c>
      <c r="L166" s="31">
        <f t="shared" si="46"/>
        <v>0</v>
      </c>
      <c r="M166" s="31">
        <f t="shared" si="46"/>
        <v>0</v>
      </c>
      <c r="N166" s="31">
        <f t="shared" si="46"/>
        <v>0</v>
      </c>
      <c r="O166" s="31">
        <f t="shared" si="46"/>
        <v>0</v>
      </c>
      <c r="P166" s="31">
        <f t="shared" si="46"/>
        <v>0</v>
      </c>
      <c r="Q166" s="31">
        <f t="shared" si="46"/>
        <v>0</v>
      </c>
      <c r="R166" s="31">
        <f t="shared" si="46"/>
        <v>0</v>
      </c>
      <c r="S166" s="31">
        <f t="shared" si="46"/>
        <v>0</v>
      </c>
      <c r="T166" s="31">
        <f t="shared" si="46"/>
        <v>0</v>
      </c>
      <c r="U166" s="31">
        <f t="shared" si="46"/>
        <v>0</v>
      </c>
      <c r="V166" s="31">
        <f t="shared" si="46"/>
        <v>0</v>
      </c>
      <c r="W166" s="31">
        <f t="shared" si="46"/>
        <v>0</v>
      </c>
      <c r="X166" s="31">
        <f t="shared" si="46"/>
        <v>0</v>
      </c>
      <c r="Y166" s="31">
        <f t="shared" si="46"/>
        <v>0</v>
      </c>
      <c r="Z166" s="31">
        <f t="shared" si="46"/>
        <v>0</v>
      </c>
      <c r="AA166" s="31">
        <f t="shared" si="46"/>
        <v>0</v>
      </c>
      <c r="AB166" s="31">
        <f t="shared" si="46"/>
        <v>0</v>
      </c>
      <c r="AC166" s="31">
        <f t="shared" si="46"/>
        <v>0</v>
      </c>
      <c r="AD166" s="31">
        <f t="shared" si="46"/>
        <v>0</v>
      </c>
      <c r="AE166" s="31">
        <f t="shared" si="46"/>
        <v>0</v>
      </c>
      <c r="AF166" s="31">
        <f t="shared" si="46"/>
        <v>0</v>
      </c>
      <c r="AG166" s="31">
        <f t="shared" si="46"/>
        <v>0</v>
      </c>
      <c r="AH166" s="31">
        <f t="shared" si="46"/>
        <v>0</v>
      </c>
      <c r="AI166" s="31">
        <f t="shared" si="46"/>
        <v>0</v>
      </c>
      <c r="AJ166" s="31">
        <f t="shared" si="46"/>
        <v>0</v>
      </c>
      <c r="AK166" s="31">
        <f t="shared" si="46"/>
        <v>0</v>
      </c>
      <c r="AL166" s="31">
        <f t="shared" si="46"/>
        <v>0</v>
      </c>
      <c r="AM166" s="31">
        <f t="shared" si="46"/>
        <v>0</v>
      </c>
      <c r="AN166" s="31">
        <f t="shared" si="46"/>
        <v>0</v>
      </c>
      <c r="AO166" s="31">
        <f t="shared" si="46"/>
        <v>0</v>
      </c>
      <c r="AP166" s="31">
        <f t="shared" si="46"/>
        <v>0</v>
      </c>
    </row>
    <row r="168" spans="1:42">
      <c r="G168" s="31">
        <f>-G82</f>
        <v>0</v>
      </c>
      <c r="H168" s="31">
        <f t="shared" ref="H168:N168" si="47">-H82</f>
        <v>0</v>
      </c>
      <c r="I168" s="31">
        <f t="shared" si="47"/>
        <v>0</v>
      </c>
      <c r="J168" s="31">
        <f t="shared" si="47"/>
        <v>0</v>
      </c>
      <c r="K168" s="31">
        <f t="shared" si="47"/>
        <v>0</v>
      </c>
      <c r="L168" s="31">
        <f t="shared" si="47"/>
        <v>0</v>
      </c>
      <c r="M168" s="31">
        <f t="shared" si="47"/>
        <v>0</v>
      </c>
      <c r="N168" s="31">
        <f t="shared" si="47"/>
        <v>0</v>
      </c>
      <c r="O168" s="31">
        <f>-O82</f>
        <v>0</v>
      </c>
      <c r="P168" s="31">
        <f>-P82</f>
        <v>0</v>
      </c>
      <c r="Q168" s="31">
        <f>-Q82</f>
        <v>0</v>
      </c>
      <c r="R168" s="31">
        <f>-R82</f>
        <v>0</v>
      </c>
      <c r="S168" s="31">
        <f t="shared" ref="S168:AP168" si="48">-S82</f>
        <v>0</v>
      </c>
      <c r="T168" s="31">
        <f t="shared" si="48"/>
        <v>0</v>
      </c>
      <c r="U168" s="31">
        <f t="shared" si="48"/>
        <v>0</v>
      </c>
      <c r="V168" s="31">
        <f t="shared" si="48"/>
        <v>0</v>
      </c>
      <c r="W168" s="31">
        <f t="shared" si="48"/>
        <v>0</v>
      </c>
      <c r="X168" s="31">
        <f t="shared" si="48"/>
        <v>0</v>
      </c>
      <c r="Y168" s="31">
        <f t="shared" si="48"/>
        <v>0</v>
      </c>
      <c r="Z168" s="31">
        <f t="shared" si="48"/>
        <v>0</v>
      </c>
      <c r="AA168" s="31">
        <f t="shared" si="48"/>
        <v>0</v>
      </c>
      <c r="AB168" s="31">
        <f t="shared" si="48"/>
        <v>0</v>
      </c>
      <c r="AC168" s="31">
        <f t="shared" si="48"/>
        <v>0</v>
      </c>
      <c r="AD168" s="31">
        <f t="shared" si="48"/>
        <v>0</v>
      </c>
      <c r="AE168" s="31">
        <f t="shared" si="48"/>
        <v>0</v>
      </c>
      <c r="AF168" s="31">
        <f t="shared" si="48"/>
        <v>0</v>
      </c>
      <c r="AG168" s="31">
        <f t="shared" si="48"/>
        <v>0</v>
      </c>
      <c r="AH168" s="31">
        <f t="shared" si="48"/>
        <v>0</v>
      </c>
      <c r="AI168" s="31">
        <f t="shared" si="48"/>
        <v>0</v>
      </c>
      <c r="AJ168" s="31">
        <f t="shared" si="48"/>
        <v>0</v>
      </c>
      <c r="AK168" s="31">
        <f t="shared" si="48"/>
        <v>0</v>
      </c>
      <c r="AL168" s="31">
        <f t="shared" si="48"/>
        <v>0</v>
      </c>
      <c r="AM168" s="31">
        <f t="shared" si="48"/>
        <v>0</v>
      </c>
      <c r="AN168" s="31">
        <f t="shared" si="48"/>
        <v>0</v>
      </c>
      <c r="AO168" s="31">
        <f t="shared" si="48"/>
        <v>0</v>
      </c>
      <c r="AP168" s="31">
        <f t="shared" si="48"/>
        <v>0</v>
      </c>
    </row>
    <row r="172" spans="1:42">
      <c r="Z172" s="21" t="s">
        <v>46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9"/>
  <dimension ref="A1:AL8"/>
  <sheetViews>
    <sheetView workbookViewId="0">
      <selection activeCell="Q16" sqref="Q16"/>
    </sheetView>
  </sheetViews>
  <sheetFormatPr baseColWidth="10" defaultColWidth="11.42578125" defaultRowHeight="18.75"/>
  <cols>
    <col min="1" max="1" width="11.42578125" style="35"/>
    <col min="2" max="2" width="18.28515625" style="35" bestFit="1" customWidth="1"/>
    <col min="3" max="16384" width="11.42578125" style="35"/>
  </cols>
  <sheetData>
    <row r="1" spans="1:38" ht="21">
      <c r="C1" s="1257" t="s">
        <v>121</v>
      </c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8" t="s">
        <v>122</v>
      </c>
      <c r="P1" s="1258"/>
      <c r="Q1" s="1258"/>
      <c r="R1" s="1258"/>
      <c r="S1" s="1258"/>
      <c r="T1" s="1258"/>
      <c r="U1" s="1258"/>
      <c r="V1" s="1258"/>
      <c r="W1" s="1258"/>
      <c r="X1" s="1258"/>
      <c r="Y1" s="1258"/>
      <c r="Z1" s="1258"/>
      <c r="AA1" s="1257" t="s">
        <v>123</v>
      </c>
      <c r="AB1" s="1257"/>
      <c r="AC1" s="1257"/>
      <c r="AD1" s="1257"/>
      <c r="AE1" s="1257"/>
      <c r="AF1" s="1257"/>
      <c r="AG1" s="1257"/>
      <c r="AH1" s="1257"/>
      <c r="AI1" s="1257"/>
      <c r="AJ1" s="1257"/>
      <c r="AK1" s="1257"/>
      <c r="AL1" s="1257"/>
    </row>
    <row r="2" spans="1:38" ht="75.75" thickBot="1">
      <c r="A2" s="36"/>
      <c r="C2" s="249" t="str">
        <f>+Cuestionario!$C$9</f>
        <v>Renovación ubicación</v>
      </c>
      <c r="D2" s="249" t="e">
        <f>EDATE(C2,1)</f>
        <v>#VALUE!</v>
      </c>
      <c r="E2" s="249" t="e">
        <f t="shared" ref="E2:N2" si="0">EDATE(D2,1)</f>
        <v>#VALUE!</v>
      </c>
      <c r="F2" s="249" t="e">
        <f t="shared" si="0"/>
        <v>#VALUE!</v>
      </c>
      <c r="G2" s="249" t="e">
        <f t="shared" si="0"/>
        <v>#VALUE!</v>
      </c>
      <c r="H2" s="249" t="e">
        <f t="shared" si="0"/>
        <v>#VALUE!</v>
      </c>
      <c r="I2" s="249" t="e">
        <f t="shared" si="0"/>
        <v>#VALUE!</v>
      </c>
      <c r="J2" s="249" t="e">
        <f t="shared" si="0"/>
        <v>#VALUE!</v>
      </c>
      <c r="K2" s="249" t="e">
        <f t="shared" si="0"/>
        <v>#VALUE!</v>
      </c>
      <c r="L2" s="249" t="e">
        <f t="shared" si="0"/>
        <v>#VALUE!</v>
      </c>
      <c r="M2" s="249" t="e">
        <f t="shared" si="0"/>
        <v>#VALUE!</v>
      </c>
      <c r="N2" s="250" t="e">
        <f t="shared" si="0"/>
        <v>#VALUE!</v>
      </c>
      <c r="O2" s="251" t="e">
        <f>EDATE(N2,1)</f>
        <v>#VALUE!</v>
      </c>
      <c r="P2" s="252" t="e">
        <f t="shared" ref="P2:AL2" si="1">EDATE(O2,1)</f>
        <v>#VALUE!</v>
      </c>
      <c r="Q2" s="252" t="e">
        <f t="shared" si="1"/>
        <v>#VALUE!</v>
      </c>
      <c r="R2" s="252" t="e">
        <f t="shared" si="1"/>
        <v>#VALUE!</v>
      </c>
      <c r="S2" s="252" t="e">
        <f t="shared" si="1"/>
        <v>#VALUE!</v>
      </c>
      <c r="T2" s="252" t="e">
        <f t="shared" si="1"/>
        <v>#VALUE!</v>
      </c>
      <c r="U2" s="252" t="e">
        <f t="shared" si="1"/>
        <v>#VALUE!</v>
      </c>
      <c r="V2" s="252" t="e">
        <f t="shared" si="1"/>
        <v>#VALUE!</v>
      </c>
      <c r="W2" s="252" t="e">
        <f t="shared" si="1"/>
        <v>#VALUE!</v>
      </c>
      <c r="X2" s="252" t="e">
        <f t="shared" si="1"/>
        <v>#VALUE!</v>
      </c>
      <c r="Y2" s="252" t="e">
        <f t="shared" si="1"/>
        <v>#VALUE!</v>
      </c>
      <c r="Z2" s="253" t="e">
        <f t="shared" si="1"/>
        <v>#VALUE!</v>
      </c>
      <c r="AA2" s="254" t="e">
        <f t="shared" si="1"/>
        <v>#VALUE!</v>
      </c>
      <c r="AB2" s="249" t="e">
        <f t="shared" si="1"/>
        <v>#VALUE!</v>
      </c>
      <c r="AC2" s="249" t="e">
        <f t="shared" si="1"/>
        <v>#VALUE!</v>
      </c>
      <c r="AD2" s="249" t="e">
        <f t="shared" si="1"/>
        <v>#VALUE!</v>
      </c>
      <c r="AE2" s="249" t="e">
        <f t="shared" si="1"/>
        <v>#VALUE!</v>
      </c>
      <c r="AF2" s="249" t="e">
        <f t="shared" si="1"/>
        <v>#VALUE!</v>
      </c>
      <c r="AG2" s="249" t="e">
        <f t="shared" si="1"/>
        <v>#VALUE!</v>
      </c>
      <c r="AH2" s="249" t="e">
        <f t="shared" si="1"/>
        <v>#VALUE!</v>
      </c>
      <c r="AI2" s="249" t="e">
        <f t="shared" si="1"/>
        <v>#VALUE!</v>
      </c>
      <c r="AJ2" s="249" t="e">
        <f t="shared" si="1"/>
        <v>#VALUE!</v>
      </c>
      <c r="AK2" s="249" t="e">
        <f t="shared" si="1"/>
        <v>#VALUE!</v>
      </c>
      <c r="AL2" s="249" t="e">
        <f t="shared" si="1"/>
        <v>#VALUE!</v>
      </c>
    </row>
    <row r="3" spans="1:38" ht="19.5" thickBot="1">
      <c r="A3" s="36"/>
      <c r="B3" s="255" t="s">
        <v>219</v>
      </c>
      <c r="C3" s="256">
        <f ca="1">+'Tabla préstamo inicial'!J4+'Total préstamo post'!J4</f>
        <v>0</v>
      </c>
      <c r="D3" s="256">
        <f ca="1">+'Tabla préstamo inicial'!K4+'Total préstamo post'!K4</f>
        <v>0</v>
      </c>
      <c r="E3" s="256">
        <f ca="1">+'Tabla préstamo inicial'!L4+'Total préstamo post'!L4</f>
        <v>0</v>
      </c>
      <c r="F3" s="256">
        <f ca="1">+'Tabla préstamo inicial'!M4+'Total préstamo post'!M4</f>
        <v>0</v>
      </c>
      <c r="G3" s="256">
        <f ca="1">+'Tabla préstamo inicial'!N4+'Total préstamo post'!N4</f>
        <v>0</v>
      </c>
      <c r="H3" s="256">
        <f ca="1">+'Tabla préstamo inicial'!O4+'Total préstamo post'!O4</f>
        <v>0</v>
      </c>
      <c r="I3" s="256">
        <f ca="1">+'Tabla préstamo inicial'!P4+'Total préstamo post'!P4</f>
        <v>0</v>
      </c>
      <c r="J3" s="256">
        <f ca="1">+'Tabla préstamo inicial'!Q4+'Total préstamo post'!Q4</f>
        <v>0</v>
      </c>
      <c r="K3" s="256">
        <f ca="1">+'Tabla préstamo inicial'!R4+'Total préstamo post'!R4</f>
        <v>0</v>
      </c>
      <c r="L3" s="256">
        <f ca="1">+'Tabla préstamo inicial'!S4+'Total préstamo post'!S4</f>
        <v>0</v>
      </c>
      <c r="M3" s="256">
        <f ca="1">+'Tabla préstamo inicial'!T4+'Total préstamo post'!T4</f>
        <v>0</v>
      </c>
      <c r="N3" s="256">
        <f ca="1">+'Tabla préstamo inicial'!U4+'Total préstamo post'!U4</f>
        <v>0</v>
      </c>
      <c r="O3" s="256">
        <f ca="1">+'Tabla préstamo inicial'!V4+'Total préstamo post'!V4</f>
        <v>0</v>
      </c>
      <c r="P3" s="256">
        <f ca="1">+'Tabla préstamo inicial'!W4+'Total préstamo post'!W4</f>
        <v>0</v>
      </c>
      <c r="Q3" s="256">
        <f ca="1">+'Tabla préstamo inicial'!X4+'Total préstamo post'!X4</f>
        <v>0</v>
      </c>
      <c r="R3" s="256">
        <f ca="1">+'Tabla préstamo inicial'!Y4+'Total préstamo post'!Y4</f>
        <v>0</v>
      </c>
      <c r="S3" s="256">
        <f ca="1">+'Tabla préstamo inicial'!Z4+'Total préstamo post'!Z4</f>
        <v>0</v>
      </c>
      <c r="T3" s="256">
        <f ca="1">+'Tabla préstamo inicial'!AA4+'Total préstamo post'!AA4</f>
        <v>0</v>
      </c>
      <c r="U3" s="256">
        <f ca="1">+'Tabla préstamo inicial'!AB4+'Total préstamo post'!AB4</f>
        <v>0</v>
      </c>
      <c r="V3" s="256">
        <f ca="1">+'Tabla préstamo inicial'!AC4+'Total préstamo post'!AC4</f>
        <v>0</v>
      </c>
      <c r="W3" s="256">
        <f ca="1">+'Tabla préstamo inicial'!AD4+'Total préstamo post'!AD4</f>
        <v>0</v>
      </c>
      <c r="X3" s="256">
        <f ca="1">+'Tabla préstamo inicial'!AE4+'Total préstamo post'!AE4</f>
        <v>0</v>
      </c>
      <c r="Y3" s="256">
        <f ca="1">+'Tabla préstamo inicial'!AF4+'Total préstamo post'!AF4</f>
        <v>0</v>
      </c>
      <c r="Z3" s="256">
        <f ca="1">+'Tabla préstamo inicial'!AG4+'Total préstamo post'!AG4</f>
        <v>0</v>
      </c>
      <c r="AA3" s="256">
        <f ca="1">+'Tabla préstamo inicial'!AH4+'Total préstamo post'!AH4</f>
        <v>0</v>
      </c>
      <c r="AB3" s="256">
        <f ca="1">+'Tabla préstamo inicial'!AI4+'Total préstamo post'!AI4</f>
        <v>0</v>
      </c>
      <c r="AC3" s="256">
        <f ca="1">+'Tabla préstamo inicial'!AJ4+'Total préstamo post'!AJ4</f>
        <v>0</v>
      </c>
      <c r="AD3" s="256">
        <f ca="1">+'Tabla préstamo inicial'!AK4+'Total préstamo post'!AK4</f>
        <v>0</v>
      </c>
      <c r="AE3" s="256">
        <f ca="1">+'Tabla préstamo inicial'!AL4+'Total préstamo post'!AL4</f>
        <v>0</v>
      </c>
      <c r="AF3" s="256">
        <f ca="1">+'Tabla préstamo inicial'!AM4+'Total préstamo post'!AM4</f>
        <v>0</v>
      </c>
      <c r="AG3" s="256">
        <f ca="1">+'Tabla préstamo inicial'!AN4+'Total préstamo post'!AN4</f>
        <v>0</v>
      </c>
      <c r="AH3" s="256">
        <f ca="1">+'Tabla préstamo inicial'!AO4+'Total préstamo post'!AO4</f>
        <v>0</v>
      </c>
      <c r="AI3" s="256">
        <f ca="1">+'Tabla préstamo inicial'!AP4+'Total préstamo post'!AP4</f>
        <v>0</v>
      </c>
      <c r="AJ3" s="256">
        <f ca="1">+'Tabla préstamo inicial'!AQ4+'Total préstamo post'!AQ4</f>
        <v>0</v>
      </c>
      <c r="AK3" s="256">
        <f ca="1">+'Tabla préstamo inicial'!AR4+'Total préstamo post'!AR4</f>
        <v>0</v>
      </c>
      <c r="AL3" s="256">
        <f ca="1">+'Tabla préstamo inicial'!AS4+'Total préstamo post'!AS4</f>
        <v>0</v>
      </c>
    </row>
    <row r="4" spans="1:38" ht="19.5" thickBot="1">
      <c r="A4" s="36"/>
      <c r="B4" s="257" t="s">
        <v>220</v>
      </c>
      <c r="C4" s="256">
        <f ca="1">+'Tabla préstamo inicial'!J5+'Total préstamo post'!J5</f>
        <v>0</v>
      </c>
      <c r="D4" s="256">
        <f ca="1">+'Tabla préstamo inicial'!K5+'Total préstamo post'!K5</f>
        <v>0</v>
      </c>
      <c r="E4" s="256">
        <f ca="1">+'Tabla préstamo inicial'!L5+'Total préstamo post'!L5</f>
        <v>0</v>
      </c>
      <c r="F4" s="256">
        <f ca="1">+'Tabla préstamo inicial'!M5+'Total préstamo post'!M5</f>
        <v>0</v>
      </c>
      <c r="G4" s="256">
        <f ca="1">+'Tabla préstamo inicial'!N5+'Total préstamo post'!N5</f>
        <v>0</v>
      </c>
      <c r="H4" s="256">
        <f ca="1">+'Tabla préstamo inicial'!O5+'Total préstamo post'!O5</f>
        <v>0</v>
      </c>
      <c r="I4" s="256">
        <f ca="1">+'Tabla préstamo inicial'!P5+'Total préstamo post'!P5</f>
        <v>0</v>
      </c>
      <c r="J4" s="256">
        <f ca="1">+'Tabla préstamo inicial'!Q5+'Total préstamo post'!Q5</f>
        <v>0</v>
      </c>
      <c r="K4" s="256">
        <f ca="1">+'Tabla préstamo inicial'!R5+'Total préstamo post'!R5</f>
        <v>0</v>
      </c>
      <c r="L4" s="256">
        <f ca="1">+'Tabla préstamo inicial'!S5+'Total préstamo post'!S5</f>
        <v>0</v>
      </c>
      <c r="M4" s="256">
        <f ca="1">+'Tabla préstamo inicial'!T5+'Total préstamo post'!T5</f>
        <v>0</v>
      </c>
      <c r="N4" s="256">
        <f ca="1">+'Tabla préstamo inicial'!U5+'Total préstamo post'!U5</f>
        <v>0</v>
      </c>
      <c r="O4" s="256">
        <f ca="1">+'Tabla préstamo inicial'!V5+'Total préstamo post'!V5</f>
        <v>0</v>
      </c>
      <c r="P4" s="256">
        <f ca="1">+'Tabla préstamo inicial'!W5+'Total préstamo post'!W5</f>
        <v>0</v>
      </c>
      <c r="Q4" s="256">
        <f ca="1">+'Tabla préstamo inicial'!X5+'Total préstamo post'!X5</f>
        <v>0</v>
      </c>
      <c r="R4" s="256">
        <f ca="1">+'Tabla préstamo inicial'!Y5+'Total préstamo post'!Y5</f>
        <v>0</v>
      </c>
      <c r="S4" s="256">
        <f ca="1">+'Tabla préstamo inicial'!Z5+'Total préstamo post'!Z5</f>
        <v>0</v>
      </c>
      <c r="T4" s="256">
        <f ca="1">+'Tabla préstamo inicial'!AA5+'Total préstamo post'!AA5</f>
        <v>0</v>
      </c>
      <c r="U4" s="256">
        <f ca="1">+'Tabla préstamo inicial'!AB5+'Total préstamo post'!AB5</f>
        <v>0</v>
      </c>
      <c r="V4" s="256">
        <f ca="1">+'Tabla préstamo inicial'!AC5+'Total préstamo post'!AC5</f>
        <v>0</v>
      </c>
      <c r="W4" s="256">
        <f ca="1">+'Tabla préstamo inicial'!AD5+'Total préstamo post'!AD5</f>
        <v>0</v>
      </c>
      <c r="X4" s="256">
        <f ca="1">+'Tabla préstamo inicial'!AE5+'Total préstamo post'!AE5</f>
        <v>0</v>
      </c>
      <c r="Y4" s="256">
        <f ca="1">+'Tabla préstamo inicial'!AF5+'Total préstamo post'!AF5</f>
        <v>0</v>
      </c>
      <c r="Z4" s="256">
        <f ca="1">+'Tabla préstamo inicial'!AG5+'Total préstamo post'!AG5</f>
        <v>0</v>
      </c>
      <c r="AA4" s="256">
        <f ca="1">+'Tabla préstamo inicial'!AH5+'Total préstamo post'!AH5</f>
        <v>0</v>
      </c>
      <c r="AB4" s="256">
        <f ca="1">+'Tabla préstamo inicial'!AI5+'Total préstamo post'!AI5</f>
        <v>0</v>
      </c>
      <c r="AC4" s="256">
        <f ca="1">+'Tabla préstamo inicial'!AJ5+'Total préstamo post'!AJ5</f>
        <v>0</v>
      </c>
      <c r="AD4" s="256">
        <f ca="1">+'Tabla préstamo inicial'!AK5+'Total préstamo post'!AK5</f>
        <v>0</v>
      </c>
      <c r="AE4" s="256">
        <f ca="1">+'Tabla préstamo inicial'!AL5+'Total préstamo post'!AL5</f>
        <v>0</v>
      </c>
      <c r="AF4" s="256">
        <f ca="1">+'Tabla préstamo inicial'!AM5+'Total préstamo post'!AM5</f>
        <v>0</v>
      </c>
      <c r="AG4" s="256">
        <f ca="1">+'Tabla préstamo inicial'!AN5+'Total préstamo post'!AN5</f>
        <v>0</v>
      </c>
      <c r="AH4" s="256">
        <f ca="1">+'Tabla préstamo inicial'!AO5+'Total préstamo post'!AO5</f>
        <v>0</v>
      </c>
      <c r="AI4" s="256">
        <f ca="1">+'Tabla préstamo inicial'!AP5+'Total préstamo post'!AP5</f>
        <v>0</v>
      </c>
      <c r="AJ4" s="256">
        <f ca="1">+'Tabla préstamo inicial'!AQ5+'Total préstamo post'!AQ5</f>
        <v>0</v>
      </c>
      <c r="AK4" s="256">
        <f ca="1">+'Tabla préstamo inicial'!AR5+'Total préstamo post'!AR5</f>
        <v>0</v>
      </c>
      <c r="AL4" s="256">
        <f ca="1">+'Tabla préstamo inicial'!AS5+'Total préstamo post'!AS5</f>
        <v>0</v>
      </c>
    </row>
    <row r="5" spans="1:38" ht="19.5" thickBot="1">
      <c r="A5" s="36"/>
      <c r="B5" s="257" t="s">
        <v>221</v>
      </c>
      <c r="C5" s="256">
        <f ca="1">+'Tabla préstamo inicial'!J6+'Total préstamo post'!J6</f>
        <v>0</v>
      </c>
      <c r="D5" s="256">
        <f ca="1">+'Tabla préstamo inicial'!K6+'Total préstamo post'!K6</f>
        <v>0</v>
      </c>
      <c r="E5" s="256">
        <f ca="1">+'Tabla préstamo inicial'!L6+'Total préstamo post'!L6</f>
        <v>0</v>
      </c>
      <c r="F5" s="256">
        <f ca="1">+'Tabla préstamo inicial'!M6+'Total préstamo post'!M6</f>
        <v>0</v>
      </c>
      <c r="G5" s="256">
        <f ca="1">+'Tabla préstamo inicial'!N6+'Total préstamo post'!N6</f>
        <v>0</v>
      </c>
      <c r="H5" s="256">
        <f ca="1">+'Tabla préstamo inicial'!O6+'Total préstamo post'!O6</f>
        <v>0</v>
      </c>
      <c r="I5" s="256">
        <f ca="1">+'Tabla préstamo inicial'!P6+'Total préstamo post'!P6</f>
        <v>0</v>
      </c>
      <c r="J5" s="256">
        <f ca="1">+'Tabla préstamo inicial'!Q6+'Total préstamo post'!Q6</f>
        <v>0</v>
      </c>
      <c r="K5" s="256">
        <f ca="1">+'Tabla préstamo inicial'!R6+'Total préstamo post'!R6</f>
        <v>0</v>
      </c>
      <c r="L5" s="256">
        <f ca="1">+'Tabla préstamo inicial'!S6+'Total préstamo post'!S6</f>
        <v>0</v>
      </c>
      <c r="M5" s="256">
        <f ca="1">+'Tabla préstamo inicial'!T6+'Total préstamo post'!T6</f>
        <v>0</v>
      </c>
      <c r="N5" s="256">
        <f ca="1">+'Tabla préstamo inicial'!U6+'Total préstamo post'!U6</f>
        <v>0</v>
      </c>
      <c r="O5" s="256">
        <f ca="1">+'Tabla préstamo inicial'!V6+'Total préstamo post'!V6</f>
        <v>0</v>
      </c>
      <c r="P5" s="256">
        <f ca="1">+'Tabla préstamo inicial'!W6+'Total préstamo post'!W6</f>
        <v>0</v>
      </c>
      <c r="Q5" s="256">
        <f ca="1">+'Tabla préstamo inicial'!X6+'Total préstamo post'!X6</f>
        <v>0</v>
      </c>
      <c r="R5" s="256">
        <f ca="1">+'Tabla préstamo inicial'!Y6+'Total préstamo post'!Y6</f>
        <v>0</v>
      </c>
      <c r="S5" s="256">
        <f ca="1">+'Tabla préstamo inicial'!Z6+'Total préstamo post'!Z6</f>
        <v>0</v>
      </c>
      <c r="T5" s="256">
        <f ca="1">+'Tabla préstamo inicial'!AA6+'Total préstamo post'!AA6</f>
        <v>0</v>
      </c>
      <c r="U5" s="256">
        <f ca="1">+'Tabla préstamo inicial'!AB6+'Total préstamo post'!AB6</f>
        <v>0</v>
      </c>
      <c r="V5" s="256">
        <f ca="1">+'Tabla préstamo inicial'!AC6+'Total préstamo post'!AC6</f>
        <v>0</v>
      </c>
      <c r="W5" s="256">
        <f ca="1">+'Tabla préstamo inicial'!AD6+'Total préstamo post'!AD6</f>
        <v>0</v>
      </c>
      <c r="X5" s="256">
        <f ca="1">+'Tabla préstamo inicial'!AE6+'Total préstamo post'!AE6</f>
        <v>0</v>
      </c>
      <c r="Y5" s="256">
        <f ca="1">+'Tabla préstamo inicial'!AF6+'Total préstamo post'!AF6</f>
        <v>0</v>
      </c>
      <c r="Z5" s="256">
        <f ca="1">+'Tabla préstamo inicial'!AG6+'Total préstamo post'!AG6</f>
        <v>0</v>
      </c>
      <c r="AA5" s="256">
        <f ca="1">+'Tabla préstamo inicial'!AH6+'Total préstamo post'!AH6</f>
        <v>0</v>
      </c>
      <c r="AB5" s="256">
        <f ca="1">+'Tabla préstamo inicial'!AI6+'Total préstamo post'!AI6</f>
        <v>0</v>
      </c>
      <c r="AC5" s="256">
        <f ca="1">+'Tabla préstamo inicial'!AJ6+'Total préstamo post'!AJ6</f>
        <v>0</v>
      </c>
      <c r="AD5" s="256">
        <f ca="1">+'Tabla préstamo inicial'!AK6+'Total préstamo post'!AK6</f>
        <v>0</v>
      </c>
      <c r="AE5" s="256">
        <f ca="1">+'Tabla préstamo inicial'!AL6+'Total préstamo post'!AL6</f>
        <v>0</v>
      </c>
      <c r="AF5" s="256">
        <f ca="1">+'Tabla préstamo inicial'!AM6+'Total préstamo post'!AM6</f>
        <v>0</v>
      </c>
      <c r="AG5" s="256">
        <f ca="1">+'Tabla préstamo inicial'!AN6+'Total préstamo post'!AN6</f>
        <v>0</v>
      </c>
      <c r="AH5" s="256">
        <f ca="1">+'Tabla préstamo inicial'!AO6+'Total préstamo post'!AO6</f>
        <v>0</v>
      </c>
      <c r="AI5" s="256">
        <f ca="1">+'Tabla préstamo inicial'!AP6+'Total préstamo post'!AP6</f>
        <v>0</v>
      </c>
      <c r="AJ5" s="256">
        <f ca="1">+'Tabla préstamo inicial'!AQ6+'Total préstamo post'!AQ6</f>
        <v>0</v>
      </c>
      <c r="AK5" s="256">
        <f ca="1">+'Tabla préstamo inicial'!AR6+'Total préstamo post'!AR6</f>
        <v>0</v>
      </c>
      <c r="AL5" s="256">
        <f ca="1">+'Tabla préstamo inicial'!AS6+'Total préstamo post'!AS6</f>
        <v>0</v>
      </c>
    </row>
    <row r="6" spans="1:38" ht="19.5" thickBot="1">
      <c r="A6" s="36"/>
      <c r="B6" s="257" t="s">
        <v>222</v>
      </c>
      <c r="C6" s="256">
        <f ca="1">+'Tabla préstamo inicial'!J7+'Total préstamo post'!J7</f>
        <v>0</v>
      </c>
      <c r="D6" s="256">
        <f ca="1">+'Tabla préstamo inicial'!K7+'Total préstamo post'!K7</f>
        <v>0</v>
      </c>
      <c r="E6" s="256">
        <f ca="1">+'Tabla préstamo inicial'!L7+'Total préstamo post'!L7</f>
        <v>0</v>
      </c>
      <c r="F6" s="256">
        <f ca="1">+'Tabla préstamo inicial'!M7+'Total préstamo post'!M7</f>
        <v>0</v>
      </c>
      <c r="G6" s="256">
        <f ca="1">+'Tabla préstamo inicial'!N7+'Total préstamo post'!N7</f>
        <v>0</v>
      </c>
      <c r="H6" s="256">
        <f ca="1">+'Tabla préstamo inicial'!O7+'Total préstamo post'!O7</f>
        <v>0</v>
      </c>
      <c r="I6" s="256">
        <f ca="1">+'Tabla préstamo inicial'!P7+'Total préstamo post'!P7</f>
        <v>0</v>
      </c>
      <c r="J6" s="256">
        <f ca="1">+'Tabla préstamo inicial'!Q7+'Total préstamo post'!Q7</f>
        <v>0</v>
      </c>
      <c r="K6" s="256">
        <f ca="1">+'Tabla préstamo inicial'!R7+'Total préstamo post'!R7</f>
        <v>0</v>
      </c>
      <c r="L6" s="256">
        <f ca="1">+'Tabla préstamo inicial'!S7+'Total préstamo post'!S7</f>
        <v>0</v>
      </c>
      <c r="M6" s="256">
        <f ca="1">+'Tabla préstamo inicial'!T7+'Total préstamo post'!T7</f>
        <v>0</v>
      </c>
      <c r="N6" s="256">
        <f ca="1">+'Tabla préstamo inicial'!U7+'Total préstamo post'!U7</f>
        <v>0</v>
      </c>
      <c r="O6" s="256">
        <f ca="1">+'Tabla préstamo inicial'!V7+'Total préstamo post'!V7</f>
        <v>0</v>
      </c>
      <c r="P6" s="256">
        <f ca="1">+'Tabla préstamo inicial'!W7+'Total préstamo post'!W7</f>
        <v>0</v>
      </c>
      <c r="Q6" s="256">
        <f ca="1">+'Tabla préstamo inicial'!X7+'Total préstamo post'!X7</f>
        <v>0</v>
      </c>
      <c r="R6" s="256">
        <f ca="1">+'Tabla préstamo inicial'!Y7+'Total préstamo post'!Y7</f>
        <v>0</v>
      </c>
      <c r="S6" s="256">
        <f ca="1">+'Tabla préstamo inicial'!Z7+'Total préstamo post'!Z7</f>
        <v>0</v>
      </c>
      <c r="T6" s="256">
        <f ca="1">+'Tabla préstamo inicial'!AA7+'Total préstamo post'!AA7</f>
        <v>0</v>
      </c>
      <c r="U6" s="256">
        <f ca="1">+'Tabla préstamo inicial'!AB7+'Total préstamo post'!AB7</f>
        <v>0</v>
      </c>
      <c r="V6" s="256">
        <f ca="1">+'Tabla préstamo inicial'!AC7+'Total préstamo post'!AC7</f>
        <v>0</v>
      </c>
      <c r="W6" s="256">
        <f ca="1">+'Tabla préstamo inicial'!AD7+'Total préstamo post'!AD7</f>
        <v>0</v>
      </c>
      <c r="X6" s="256">
        <f ca="1">+'Tabla préstamo inicial'!AE7+'Total préstamo post'!AE7</f>
        <v>0</v>
      </c>
      <c r="Y6" s="256">
        <f ca="1">+'Tabla préstamo inicial'!AF7+'Total préstamo post'!AF7</f>
        <v>0</v>
      </c>
      <c r="Z6" s="256">
        <f ca="1">+'Tabla préstamo inicial'!AG7+'Total préstamo post'!AG7</f>
        <v>0</v>
      </c>
      <c r="AA6" s="256">
        <f ca="1">+'Tabla préstamo inicial'!AH7+'Total préstamo post'!AH7</f>
        <v>0</v>
      </c>
      <c r="AB6" s="256">
        <f ca="1">+'Tabla préstamo inicial'!AI7+'Total préstamo post'!AI7</f>
        <v>0</v>
      </c>
      <c r="AC6" s="256">
        <f ca="1">+'Tabla préstamo inicial'!AJ7+'Total préstamo post'!AJ7</f>
        <v>0</v>
      </c>
      <c r="AD6" s="256">
        <f ca="1">+'Tabla préstamo inicial'!AK7+'Total préstamo post'!AK7</f>
        <v>0</v>
      </c>
      <c r="AE6" s="256">
        <f ca="1">+'Tabla préstamo inicial'!AL7+'Total préstamo post'!AL7</f>
        <v>0</v>
      </c>
      <c r="AF6" s="256">
        <f ca="1">+'Tabla préstamo inicial'!AM7+'Total préstamo post'!AM7</f>
        <v>0</v>
      </c>
      <c r="AG6" s="256">
        <f ca="1">+'Tabla préstamo inicial'!AN7+'Total préstamo post'!AN7</f>
        <v>0</v>
      </c>
      <c r="AH6" s="256">
        <f ca="1">+'Tabla préstamo inicial'!AO7+'Total préstamo post'!AO7</f>
        <v>0</v>
      </c>
      <c r="AI6" s="256">
        <f ca="1">+'Tabla préstamo inicial'!AP7+'Total préstamo post'!AP7</f>
        <v>0</v>
      </c>
      <c r="AJ6" s="256">
        <f ca="1">+'Tabla préstamo inicial'!AQ7+'Total préstamo post'!AQ7</f>
        <v>0</v>
      </c>
      <c r="AK6" s="256">
        <f ca="1">+'Tabla préstamo inicial'!AR7+'Total préstamo post'!AR7</f>
        <v>0</v>
      </c>
      <c r="AL6" s="256">
        <f ca="1">+'Tabla préstamo inicial'!AS7+'Total préstamo post'!AS7</f>
        <v>0</v>
      </c>
    </row>
    <row r="7" spans="1:38" ht="19.5" thickBot="1">
      <c r="A7" s="36"/>
      <c r="B7" s="258" t="s">
        <v>223</v>
      </c>
      <c r="C7" s="256">
        <f ca="1">+'Tabla préstamo inicial'!J8+'Total préstamo post'!J8</f>
        <v>0</v>
      </c>
      <c r="D7" s="256">
        <f ca="1">+'Tabla préstamo inicial'!K8+'Total préstamo post'!K8</f>
        <v>0</v>
      </c>
      <c r="E7" s="256">
        <f ca="1">+'Tabla préstamo inicial'!L8+'Total préstamo post'!L8</f>
        <v>0</v>
      </c>
      <c r="F7" s="256">
        <f ca="1">+'Tabla préstamo inicial'!M8+'Total préstamo post'!M8</f>
        <v>0</v>
      </c>
      <c r="G7" s="256">
        <f ca="1">+'Tabla préstamo inicial'!N8+'Total préstamo post'!N8</f>
        <v>0</v>
      </c>
      <c r="H7" s="256">
        <f ca="1">+'Tabla préstamo inicial'!O8+'Total préstamo post'!O8</f>
        <v>0</v>
      </c>
      <c r="I7" s="256">
        <f ca="1">+'Tabla préstamo inicial'!P8+'Total préstamo post'!P8</f>
        <v>0</v>
      </c>
      <c r="J7" s="256">
        <f ca="1">+'Tabla préstamo inicial'!Q8+'Total préstamo post'!Q8</f>
        <v>0</v>
      </c>
      <c r="K7" s="256">
        <f ca="1">+'Tabla préstamo inicial'!R8+'Total préstamo post'!R8</f>
        <v>0</v>
      </c>
      <c r="L7" s="256">
        <f ca="1">+'Tabla préstamo inicial'!S8+'Total préstamo post'!S8</f>
        <v>0</v>
      </c>
      <c r="M7" s="256">
        <f ca="1">+'Tabla préstamo inicial'!T8+'Total préstamo post'!T8</f>
        <v>0</v>
      </c>
      <c r="N7" s="256">
        <f ca="1">+'Tabla préstamo inicial'!U8+'Total préstamo post'!U8</f>
        <v>0</v>
      </c>
      <c r="O7" s="256">
        <f ca="1">+'Tabla préstamo inicial'!V8+'Total préstamo post'!V8</f>
        <v>0</v>
      </c>
      <c r="P7" s="256">
        <f ca="1">+'Tabla préstamo inicial'!W8+'Total préstamo post'!W8</f>
        <v>0</v>
      </c>
      <c r="Q7" s="256">
        <f ca="1">+'Tabla préstamo inicial'!X8+'Total préstamo post'!X8</f>
        <v>0</v>
      </c>
      <c r="R7" s="256">
        <f ca="1">+'Tabla préstamo inicial'!Y8+'Total préstamo post'!Y8</f>
        <v>0</v>
      </c>
      <c r="S7" s="256">
        <f ca="1">+'Tabla préstamo inicial'!Z8+'Total préstamo post'!Z8</f>
        <v>0</v>
      </c>
      <c r="T7" s="256">
        <f ca="1">+'Tabla préstamo inicial'!AA8+'Total préstamo post'!AA8</f>
        <v>0</v>
      </c>
      <c r="U7" s="256">
        <f ca="1">+'Tabla préstamo inicial'!AB8+'Total préstamo post'!AB8</f>
        <v>0</v>
      </c>
      <c r="V7" s="256">
        <f ca="1">+'Tabla préstamo inicial'!AC8+'Total préstamo post'!AC8</f>
        <v>0</v>
      </c>
      <c r="W7" s="256">
        <f ca="1">+'Tabla préstamo inicial'!AD8+'Total préstamo post'!AD8</f>
        <v>0</v>
      </c>
      <c r="X7" s="256">
        <f ca="1">+'Tabla préstamo inicial'!AE8+'Total préstamo post'!AE8</f>
        <v>0</v>
      </c>
      <c r="Y7" s="256">
        <f ca="1">+'Tabla préstamo inicial'!AF8+'Total préstamo post'!AF8</f>
        <v>0</v>
      </c>
      <c r="Z7" s="256">
        <f ca="1">+'Tabla préstamo inicial'!AG8+'Total préstamo post'!AG8</f>
        <v>0</v>
      </c>
      <c r="AA7" s="256">
        <f ca="1">+'Tabla préstamo inicial'!AH8+'Total préstamo post'!AH8</f>
        <v>0</v>
      </c>
      <c r="AB7" s="256">
        <f ca="1">+'Tabla préstamo inicial'!AI8+'Total préstamo post'!AI8</f>
        <v>0</v>
      </c>
      <c r="AC7" s="256">
        <f ca="1">+'Tabla préstamo inicial'!AJ8+'Total préstamo post'!AJ8</f>
        <v>0</v>
      </c>
      <c r="AD7" s="256">
        <f ca="1">+'Tabla préstamo inicial'!AK8+'Total préstamo post'!AK8</f>
        <v>0</v>
      </c>
      <c r="AE7" s="256">
        <f ca="1">+'Tabla préstamo inicial'!AL8+'Total préstamo post'!AL8</f>
        <v>0</v>
      </c>
      <c r="AF7" s="256">
        <f ca="1">+'Tabla préstamo inicial'!AM8+'Total préstamo post'!AM8</f>
        <v>0</v>
      </c>
      <c r="AG7" s="256">
        <f ca="1">+'Tabla préstamo inicial'!AN8+'Total préstamo post'!AN8</f>
        <v>0</v>
      </c>
      <c r="AH7" s="256">
        <f ca="1">+'Tabla préstamo inicial'!AO8+'Total préstamo post'!AO8</f>
        <v>0</v>
      </c>
      <c r="AI7" s="256">
        <f ca="1">+'Tabla préstamo inicial'!AP8+'Total préstamo post'!AP8</f>
        <v>0</v>
      </c>
      <c r="AJ7" s="256">
        <f ca="1">+'Tabla préstamo inicial'!AQ8+'Total préstamo post'!AQ8</f>
        <v>0</v>
      </c>
      <c r="AK7" s="256">
        <f ca="1">+'Tabla préstamo inicial'!AR8+'Total préstamo post'!AR8</f>
        <v>0</v>
      </c>
      <c r="AL7" s="256">
        <f ca="1">+'Tabla préstamo inicial'!AS8+'Total préstamo post'!AS8</f>
        <v>0</v>
      </c>
    </row>
    <row r="8" spans="1:38">
      <c r="A8" s="36"/>
      <c r="F8" s="35" t="s">
        <v>46</v>
      </c>
    </row>
  </sheetData>
  <mergeCells count="3">
    <mergeCell ref="C1:N1"/>
    <mergeCell ref="O1:Z1"/>
    <mergeCell ref="AA1:AL1"/>
  </mergeCells>
  <conditionalFormatting sqref="C1:AL2">
    <cfRule type="cellIs" dxfId="472" priority="1" operator="equal">
      <formula>0</formula>
    </cfRule>
  </conditionalFormatting>
  <conditionalFormatting sqref="C1:AL2">
    <cfRule type="cellIs" dxfId="471" priority="2" operator="equal">
      <formula>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5">
    <tabColor theme="9" tint="-0.249977111117893"/>
  </sheetPr>
  <dimension ref="A1:AS73"/>
  <sheetViews>
    <sheetView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G5" sqref="G5"/>
    </sheetView>
  </sheetViews>
  <sheetFormatPr baseColWidth="10" defaultRowHeight="15"/>
  <cols>
    <col min="1" max="1" width="20.5703125" bestFit="1" customWidth="1"/>
    <col min="2" max="2" width="12.5703125" style="81" customWidth="1"/>
    <col min="3" max="6" width="3.28515625" customWidth="1"/>
    <col min="8" max="8" width="11.85546875" bestFit="1" customWidth="1"/>
    <col min="10" max="10" width="11.85546875" bestFit="1" customWidth="1"/>
  </cols>
  <sheetData>
    <row r="1" spans="1:43" ht="15.75">
      <c r="A1" t="s">
        <v>375</v>
      </c>
      <c r="B1" s="272">
        <f>IF(Cuestionario!B66="",1,0)</f>
        <v>1</v>
      </c>
      <c r="G1" s="1260" t="s">
        <v>121</v>
      </c>
      <c r="H1" s="1260"/>
      <c r="I1" s="1260"/>
      <c r="J1" s="1260"/>
      <c r="K1" s="1260"/>
      <c r="L1" s="1260"/>
      <c r="M1" s="1260"/>
      <c r="N1" s="1260"/>
      <c r="O1" s="1260"/>
      <c r="P1" s="1260"/>
      <c r="Q1" s="1260"/>
      <c r="R1" s="1260"/>
      <c r="S1" s="1261" t="s">
        <v>122</v>
      </c>
      <c r="T1" s="1261"/>
      <c r="U1" s="1261"/>
      <c r="V1" s="1261"/>
      <c r="W1" s="1261"/>
      <c r="X1" s="1261"/>
      <c r="Y1" s="1261"/>
      <c r="Z1" s="1261"/>
      <c r="AA1" s="1261"/>
      <c r="AB1" s="1261"/>
      <c r="AC1" s="1261"/>
      <c r="AD1" s="1261"/>
      <c r="AE1" s="1262" t="s">
        <v>123</v>
      </c>
      <c r="AF1" s="1262"/>
      <c r="AG1" s="1262"/>
      <c r="AH1" s="1262"/>
      <c r="AI1" s="1262"/>
      <c r="AJ1" s="1262"/>
      <c r="AK1" s="1262"/>
      <c r="AL1" s="1262"/>
      <c r="AM1" s="1262"/>
      <c r="AN1" s="1262"/>
      <c r="AO1" s="1262"/>
      <c r="AP1" s="1262"/>
    </row>
    <row r="2" spans="1:43">
      <c r="G2" s="134">
        <f>MONTH('INGRESOS-GASTOS'!G1)</f>
        <v>1</v>
      </c>
      <c r="H2" s="134">
        <f>MONTH('INGRESOS-GASTOS'!H1)</f>
        <v>2</v>
      </c>
      <c r="I2" s="134">
        <f>MONTH('INGRESOS-GASTOS'!I1)</f>
        <v>3</v>
      </c>
      <c r="J2" s="134">
        <f>MONTH('INGRESOS-GASTOS'!J1)</f>
        <v>4</v>
      </c>
      <c r="K2" s="134">
        <f>MONTH('INGRESOS-GASTOS'!K1)</f>
        <v>5</v>
      </c>
      <c r="L2" s="134">
        <f>MONTH('INGRESOS-GASTOS'!L1)</f>
        <v>6</v>
      </c>
      <c r="M2" s="134">
        <f>MONTH('INGRESOS-GASTOS'!M1)</f>
        <v>7</v>
      </c>
      <c r="N2" s="134">
        <f>MONTH('INGRESOS-GASTOS'!N1)</f>
        <v>8</v>
      </c>
      <c r="O2" s="134">
        <f>MONTH('INGRESOS-GASTOS'!O1)</f>
        <v>9</v>
      </c>
      <c r="P2" s="134">
        <f>MONTH('INGRESOS-GASTOS'!P1)</f>
        <v>10</v>
      </c>
      <c r="Q2" s="134">
        <f>MONTH('INGRESOS-GASTOS'!Q1)</f>
        <v>11</v>
      </c>
      <c r="R2" s="134">
        <f>MONTH('INGRESOS-GASTOS'!R1)</f>
        <v>12</v>
      </c>
      <c r="S2" s="134">
        <f>MONTH('INGRESOS-GASTOS'!S1)</f>
        <v>1</v>
      </c>
      <c r="T2" s="134">
        <f>MONTH('INGRESOS-GASTOS'!T1)</f>
        <v>2</v>
      </c>
      <c r="U2" s="134">
        <f>MONTH('INGRESOS-GASTOS'!U1)</f>
        <v>3</v>
      </c>
      <c r="V2" s="134">
        <f>MONTH('INGRESOS-GASTOS'!V1)</f>
        <v>4</v>
      </c>
      <c r="W2" s="134">
        <f>MONTH('INGRESOS-GASTOS'!W1)</f>
        <v>5</v>
      </c>
      <c r="X2" s="134">
        <f>MONTH('INGRESOS-GASTOS'!X1)</f>
        <v>6</v>
      </c>
      <c r="Y2" s="134">
        <f>MONTH('INGRESOS-GASTOS'!Y1)</f>
        <v>7</v>
      </c>
      <c r="Z2" s="134">
        <f>MONTH('INGRESOS-GASTOS'!Z1)</f>
        <v>8</v>
      </c>
      <c r="AA2" s="134">
        <f>MONTH('INGRESOS-GASTOS'!AA1)</f>
        <v>9</v>
      </c>
      <c r="AB2" s="134">
        <f>MONTH('INGRESOS-GASTOS'!AB1)</f>
        <v>10</v>
      </c>
      <c r="AC2" s="134">
        <f>MONTH('INGRESOS-GASTOS'!AC1)</f>
        <v>11</v>
      </c>
      <c r="AD2" s="134">
        <f>MONTH('INGRESOS-GASTOS'!AD1)</f>
        <v>12</v>
      </c>
      <c r="AE2" s="134">
        <f>MONTH('INGRESOS-GASTOS'!AE1)</f>
        <v>1</v>
      </c>
      <c r="AF2" s="134">
        <f>MONTH('INGRESOS-GASTOS'!AF1)</f>
        <v>2</v>
      </c>
      <c r="AG2" s="134">
        <f>MONTH('INGRESOS-GASTOS'!AG1)</f>
        <v>3</v>
      </c>
      <c r="AH2" s="134">
        <f>MONTH('INGRESOS-GASTOS'!AH1)</f>
        <v>4</v>
      </c>
      <c r="AI2" s="134">
        <f>MONTH('INGRESOS-GASTOS'!AI1)</f>
        <v>5</v>
      </c>
      <c r="AJ2" s="134">
        <f>MONTH('INGRESOS-GASTOS'!AJ1)</f>
        <v>6</v>
      </c>
      <c r="AK2" s="134">
        <f>MONTH('INGRESOS-GASTOS'!AK1)</f>
        <v>7</v>
      </c>
      <c r="AL2" s="134">
        <f>MONTH('INGRESOS-GASTOS'!AL1)</f>
        <v>8</v>
      </c>
      <c r="AM2" s="134">
        <f>MONTH('INGRESOS-GASTOS'!AM1)</f>
        <v>9</v>
      </c>
      <c r="AN2" s="134">
        <f>MONTH('INGRESOS-GASTOS'!AN1)</f>
        <v>10</v>
      </c>
      <c r="AO2" s="134">
        <f>MONTH('INGRESOS-GASTOS'!AO1)</f>
        <v>11</v>
      </c>
      <c r="AP2" s="134">
        <f>MONTH('INGRESOS-GASTOS'!AP1)</f>
        <v>12</v>
      </c>
      <c r="AQ2">
        <v>1</v>
      </c>
    </row>
    <row r="3" spans="1:43">
      <c r="G3" s="135" t="str">
        <f>VLOOKUP(G2,DATOS!$A$2:$B$13,2,0)</f>
        <v>Enero</v>
      </c>
      <c r="H3" s="135" t="str">
        <f>VLOOKUP(H2,DATOS!$A$2:$B$13,2,0)</f>
        <v>Febrero</v>
      </c>
      <c r="I3" s="135" t="str">
        <f>VLOOKUP(I2,DATOS!$A$2:$B$13,2,0)</f>
        <v>Marzo</v>
      </c>
      <c r="J3" s="135" t="str">
        <f>VLOOKUP(J2,DATOS!$A$2:$B$13,2,0)</f>
        <v>Abril</v>
      </c>
      <c r="K3" s="135" t="str">
        <f>VLOOKUP(K2,DATOS!$A$2:$B$13,2,0)</f>
        <v>Mayo</v>
      </c>
      <c r="L3" s="135" t="str">
        <f>VLOOKUP(L2,DATOS!$A$2:$B$13,2,0)</f>
        <v>Junio</v>
      </c>
      <c r="M3" s="135" t="str">
        <f>VLOOKUP(M2,DATOS!$A$2:$B$13,2,0)</f>
        <v>Julio</v>
      </c>
      <c r="N3" s="135" t="str">
        <f>VLOOKUP(N2,DATOS!$A$2:$B$13,2,0)</f>
        <v>Agosto</v>
      </c>
      <c r="O3" s="135" t="str">
        <f>VLOOKUP(O2,DATOS!$A$2:$B$13,2,0)</f>
        <v>Septiembre</v>
      </c>
      <c r="P3" s="135" t="str">
        <f>VLOOKUP(P2,DATOS!$A$2:$B$13,2,0)</f>
        <v>Octubre</v>
      </c>
      <c r="Q3" s="135" t="str">
        <f>VLOOKUP(Q2,DATOS!$A$2:$B$13,2,0)</f>
        <v>Noviembre</v>
      </c>
      <c r="R3" s="135" t="str">
        <f>VLOOKUP(R2,DATOS!$A$2:$B$13,2,0)</f>
        <v>Diciembre</v>
      </c>
      <c r="S3" s="135" t="str">
        <f>VLOOKUP(S2,DATOS!$A$2:$B$13,2,0)</f>
        <v>Enero</v>
      </c>
      <c r="T3" s="135" t="str">
        <f>VLOOKUP(T2,DATOS!$A$2:$B$13,2,0)</f>
        <v>Febrero</v>
      </c>
      <c r="U3" s="135" t="str">
        <f>VLOOKUP(U2,DATOS!$A$2:$B$13,2,0)</f>
        <v>Marzo</v>
      </c>
      <c r="V3" s="135" t="str">
        <f>VLOOKUP(V2,DATOS!$A$2:$B$13,2,0)</f>
        <v>Abril</v>
      </c>
      <c r="W3" s="135" t="str">
        <f>VLOOKUP(W2,DATOS!$A$2:$B$13,2,0)</f>
        <v>Mayo</v>
      </c>
      <c r="X3" s="135" t="str">
        <f>VLOOKUP(X2,DATOS!$A$2:$B$13,2,0)</f>
        <v>Junio</v>
      </c>
      <c r="Y3" s="135" t="str">
        <f>VLOOKUP(Y2,DATOS!$A$2:$B$13,2,0)</f>
        <v>Julio</v>
      </c>
      <c r="Z3" s="135" t="str">
        <f>VLOOKUP(Z2,DATOS!$A$2:$B$13,2,0)</f>
        <v>Agosto</v>
      </c>
      <c r="AA3" s="135" t="str">
        <f>VLOOKUP(AA2,DATOS!$A$2:$B$13,2,0)</f>
        <v>Septiembre</v>
      </c>
      <c r="AB3" s="135" t="str">
        <f>VLOOKUP(AB2,DATOS!$A$2:$B$13,2,0)</f>
        <v>Octubre</v>
      </c>
      <c r="AC3" s="135" t="str">
        <f>VLOOKUP(AC2,DATOS!$A$2:$B$13,2,0)</f>
        <v>Noviembre</v>
      </c>
      <c r="AD3" s="135" t="str">
        <f>VLOOKUP(AD2,DATOS!$A$2:$B$13,2,0)</f>
        <v>Diciembre</v>
      </c>
      <c r="AE3" s="135" t="str">
        <f>VLOOKUP(AE2,DATOS!$A$2:$B$13,2,0)</f>
        <v>Enero</v>
      </c>
      <c r="AF3" s="135" t="str">
        <f>VLOOKUP(AF2,DATOS!$A$2:$B$13,2,0)</f>
        <v>Febrero</v>
      </c>
      <c r="AG3" s="135" t="str">
        <f>VLOOKUP(AG2,DATOS!$A$2:$B$13,2,0)</f>
        <v>Marzo</v>
      </c>
      <c r="AH3" s="135" t="str">
        <f>VLOOKUP(AH2,DATOS!$A$2:$B$13,2,0)</f>
        <v>Abril</v>
      </c>
      <c r="AI3" s="135" t="str">
        <f>VLOOKUP(AI2,DATOS!$A$2:$B$13,2,0)</f>
        <v>Mayo</v>
      </c>
      <c r="AJ3" s="135" t="str">
        <f>VLOOKUP(AJ2,DATOS!$A$2:$B$13,2,0)</f>
        <v>Junio</v>
      </c>
      <c r="AK3" s="135" t="str">
        <f>VLOOKUP(AK2,DATOS!$A$2:$B$13,2,0)</f>
        <v>Julio</v>
      </c>
      <c r="AL3" s="135" t="str">
        <f>VLOOKUP(AL2,DATOS!$A$2:$B$13,2,0)</f>
        <v>Agosto</v>
      </c>
      <c r="AM3" s="135" t="str">
        <f>VLOOKUP(AM2,DATOS!$A$2:$B$13,2,0)</f>
        <v>Septiembre</v>
      </c>
      <c r="AN3" s="135" t="str">
        <f>VLOOKUP(AN2,DATOS!$A$2:$B$13,2,0)</f>
        <v>Octubre</v>
      </c>
      <c r="AO3" s="135" t="str">
        <f>VLOOKUP(AO2,DATOS!$A$2:$B$13,2,0)</f>
        <v>Noviembre</v>
      </c>
      <c r="AP3" s="135" t="str">
        <f>VLOOKUP(AP2,DATOS!$A$2:$B$13,2,0)</f>
        <v>Diciembre</v>
      </c>
      <c r="AQ3" s="135" t="str">
        <f>VLOOKUP(AQ2,DATOS!$A$2:$B$13,2,0)</f>
        <v>Enero</v>
      </c>
    </row>
    <row r="4" spans="1:43" ht="18.75">
      <c r="A4" s="18" t="s">
        <v>141</v>
      </c>
      <c r="B4" s="83" t="s">
        <v>142</v>
      </c>
      <c r="G4" s="84" t="s">
        <v>143</v>
      </c>
      <c r="H4" s="84" t="s">
        <v>144</v>
      </c>
      <c r="I4" s="84" t="s">
        <v>145</v>
      </c>
      <c r="J4" s="84" t="s">
        <v>146</v>
      </c>
      <c r="K4" s="84" t="s">
        <v>147</v>
      </c>
      <c r="L4" s="84" t="s">
        <v>148</v>
      </c>
      <c r="M4" s="84" t="s">
        <v>149</v>
      </c>
      <c r="N4" s="84" t="s">
        <v>150</v>
      </c>
      <c r="O4" s="84" t="s">
        <v>151</v>
      </c>
      <c r="P4" s="84" t="s">
        <v>152</v>
      </c>
      <c r="Q4" s="84" t="s">
        <v>153</v>
      </c>
      <c r="R4" s="84" t="s">
        <v>154</v>
      </c>
      <c r="S4" s="85" t="s">
        <v>155</v>
      </c>
      <c r="T4" s="85" t="s">
        <v>156</v>
      </c>
      <c r="U4" s="85" t="s">
        <v>157</v>
      </c>
      <c r="V4" s="85" t="s">
        <v>158</v>
      </c>
      <c r="W4" s="85" t="s">
        <v>159</v>
      </c>
      <c r="X4" s="85" t="s">
        <v>160</v>
      </c>
      <c r="Y4" s="85" t="s">
        <v>161</v>
      </c>
      <c r="Z4" s="85" t="s">
        <v>162</v>
      </c>
      <c r="AA4" s="85" t="s">
        <v>163</v>
      </c>
      <c r="AB4" s="85" t="s">
        <v>164</v>
      </c>
      <c r="AC4" s="85" t="s">
        <v>165</v>
      </c>
      <c r="AD4" s="85" t="s">
        <v>166</v>
      </c>
      <c r="AE4" s="84" t="s">
        <v>167</v>
      </c>
      <c r="AF4" s="84" t="s">
        <v>168</v>
      </c>
      <c r="AG4" s="84" t="s">
        <v>169</v>
      </c>
      <c r="AH4" s="84" t="s">
        <v>170</v>
      </c>
      <c r="AI4" s="84" t="s">
        <v>171</v>
      </c>
      <c r="AJ4" s="84" t="s">
        <v>172</v>
      </c>
      <c r="AK4" s="84" t="s">
        <v>173</v>
      </c>
      <c r="AL4" s="84" t="s">
        <v>174</v>
      </c>
      <c r="AM4" s="84" t="s">
        <v>175</v>
      </c>
      <c r="AN4" s="84" t="s">
        <v>176</v>
      </c>
      <c r="AO4" s="84" t="s">
        <v>177</v>
      </c>
      <c r="AP4" s="86" t="s">
        <v>178</v>
      </c>
    </row>
    <row r="5" spans="1:43">
      <c r="A5" t="s">
        <v>179</v>
      </c>
      <c r="B5" s="91"/>
      <c r="G5" s="88">
        <f>+'Personal retribución'!J70</f>
        <v>0</v>
      </c>
      <c r="H5" s="88">
        <f>+'Personal retribución'!K70</f>
        <v>0</v>
      </c>
      <c r="I5" s="88">
        <f>+'Personal retribución'!L70</f>
        <v>0</v>
      </c>
      <c r="J5" s="88">
        <f>+'Personal retribución'!M70</f>
        <v>0</v>
      </c>
      <c r="K5" s="88">
        <f>+'Personal retribución'!N70</f>
        <v>0</v>
      </c>
      <c r="L5" s="88">
        <f>+'Personal retribución'!O70</f>
        <v>0</v>
      </c>
      <c r="M5" s="88">
        <f>+'Personal retribución'!P70</f>
        <v>0</v>
      </c>
      <c r="N5" s="88">
        <f>+'Personal retribución'!Q70</f>
        <v>0</v>
      </c>
      <c r="O5" s="88">
        <f>+'Personal retribución'!R70</f>
        <v>0</v>
      </c>
      <c r="P5" s="88">
        <f>+'Personal retribución'!S70</f>
        <v>0</v>
      </c>
      <c r="Q5" s="88">
        <f>+'Personal retribución'!T70</f>
        <v>0</v>
      </c>
      <c r="R5" s="88">
        <f>+'Personal retribución'!U70</f>
        <v>0</v>
      </c>
      <c r="S5" s="89">
        <f>+'Personal retribución'!V70</f>
        <v>0</v>
      </c>
      <c r="T5" s="89">
        <f>+'Personal retribución'!W70</f>
        <v>0</v>
      </c>
      <c r="U5" s="89">
        <f>+'Personal retribución'!X70</f>
        <v>0</v>
      </c>
      <c r="V5" s="89">
        <f>+'Personal retribución'!Y70</f>
        <v>0</v>
      </c>
      <c r="W5" s="89">
        <f>+'Personal retribución'!Z70</f>
        <v>0</v>
      </c>
      <c r="X5" s="89">
        <f>+'Personal retribución'!AA70</f>
        <v>0</v>
      </c>
      <c r="Y5" s="89">
        <f>+'Personal retribución'!AB70</f>
        <v>0</v>
      </c>
      <c r="Z5" s="89">
        <f>+'Personal retribución'!AC70</f>
        <v>0</v>
      </c>
      <c r="AA5" s="89">
        <f>+'Personal retribución'!AD70</f>
        <v>0</v>
      </c>
      <c r="AB5" s="89">
        <f>+'Personal retribución'!AE70</f>
        <v>0</v>
      </c>
      <c r="AC5" s="89">
        <f>+'Personal retribución'!AF70</f>
        <v>0</v>
      </c>
      <c r="AD5" s="89">
        <f>+'Personal retribución'!AG70</f>
        <v>0</v>
      </c>
      <c r="AE5" s="88">
        <f>+'Personal retribución'!AH70</f>
        <v>0</v>
      </c>
      <c r="AF5" s="88">
        <f>+'Personal retribución'!AI70</f>
        <v>0</v>
      </c>
      <c r="AG5" s="88">
        <f>+'Personal retribución'!AJ70</f>
        <v>0</v>
      </c>
      <c r="AH5" s="88">
        <f>+'Personal retribución'!AK70</f>
        <v>0</v>
      </c>
      <c r="AI5" s="88">
        <f>+'Personal retribución'!AL70</f>
        <v>0</v>
      </c>
      <c r="AJ5" s="88">
        <f>+'Personal retribución'!AM70</f>
        <v>0</v>
      </c>
      <c r="AK5" s="88">
        <f>+'Personal retribución'!AN70</f>
        <v>0</v>
      </c>
      <c r="AL5" s="88">
        <f>+'Personal retribución'!AO70</f>
        <v>0</v>
      </c>
      <c r="AM5" s="88">
        <f>+'Personal retribución'!AP70</f>
        <v>0</v>
      </c>
      <c r="AN5" s="88">
        <f>+'Personal retribución'!AQ70</f>
        <v>0</v>
      </c>
      <c r="AO5" s="88">
        <f>+'Personal retribución'!AR70</f>
        <v>0</v>
      </c>
      <c r="AP5" s="88">
        <f>+'Personal retribución'!AS70</f>
        <v>0</v>
      </c>
    </row>
    <row r="6" spans="1:43">
      <c r="A6" t="s">
        <v>131</v>
      </c>
      <c r="B6" s="87">
        <f>IF(Cuestionario!D62="SI",0.19,0)</f>
        <v>0</v>
      </c>
      <c r="G6" s="88">
        <f>+'Otros Gastos'!D13*$B6</f>
        <v>0</v>
      </c>
      <c r="H6" s="88">
        <f>+'Otros Gastos'!E13*$B6</f>
        <v>0</v>
      </c>
      <c r="I6" s="88">
        <f>+'Otros Gastos'!F13*$B6</f>
        <v>0</v>
      </c>
      <c r="J6" s="88">
        <f>+'Otros Gastos'!G13*$B6</f>
        <v>0</v>
      </c>
      <c r="K6" s="88">
        <f>+'Otros Gastos'!H13*$B6</f>
        <v>0</v>
      </c>
      <c r="L6" s="88">
        <f>+'Otros Gastos'!I13*$B6</f>
        <v>0</v>
      </c>
      <c r="M6" s="88">
        <f>+'Otros Gastos'!J13*$B6</f>
        <v>0</v>
      </c>
      <c r="N6" s="88">
        <f>+'Otros Gastos'!K13*$B6</f>
        <v>0</v>
      </c>
      <c r="O6" s="88">
        <f>+'Otros Gastos'!L13*$B6</f>
        <v>0</v>
      </c>
      <c r="P6" s="88">
        <f>+'Otros Gastos'!M13*$B6</f>
        <v>0</v>
      </c>
      <c r="Q6" s="88">
        <f>+'Otros Gastos'!N13*$B6</f>
        <v>0</v>
      </c>
      <c r="R6" s="88">
        <f>+'Otros Gastos'!O13*$B6</f>
        <v>0</v>
      </c>
      <c r="S6" s="89">
        <f>+'Otros Gastos'!P13*$B6</f>
        <v>0</v>
      </c>
      <c r="T6" s="89">
        <f>+'Otros Gastos'!Q13*$B6</f>
        <v>0</v>
      </c>
      <c r="U6" s="89">
        <f>+'Otros Gastos'!R13*$B6</f>
        <v>0</v>
      </c>
      <c r="V6" s="89">
        <f>+'Otros Gastos'!S13*$B6</f>
        <v>0</v>
      </c>
      <c r="W6" s="89">
        <f>+'Otros Gastos'!T13*$B6</f>
        <v>0</v>
      </c>
      <c r="X6" s="89">
        <f>+'Otros Gastos'!U13*$B6</f>
        <v>0</v>
      </c>
      <c r="Y6" s="89">
        <f>+'Otros Gastos'!V13*$B6</f>
        <v>0</v>
      </c>
      <c r="Z6" s="89">
        <f>+'Otros Gastos'!W13*$B6</f>
        <v>0</v>
      </c>
      <c r="AA6" s="89">
        <f>+'Otros Gastos'!X13*$B6</f>
        <v>0</v>
      </c>
      <c r="AB6" s="89">
        <f>+'Otros Gastos'!Y13*$B6</f>
        <v>0</v>
      </c>
      <c r="AC6" s="89">
        <f>+'Otros Gastos'!Z13*$B6</f>
        <v>0</v>
      </c>
      <c r="AD6" s="89">
        <f>+'Otros Gastos'!AA13*$B6</f>
        <v>0</v>
      </c>
      <c r="AE6" s="88">
        <f>+'Otros Gastos'!AB13*$B6</f>
        <v>0</v>
      </c>
      <c r="AF6" s="88">
        <f>+'Otros Gastos'!AC13*$B6</f>
        <v>0</v>
      </c>
      <c r="AG6" s="88">
        <f>+'Otros Gastos'!AD13*$B6</f>
        <v>0</v>
      </c>
      <c r="AH6" s="88">
        <f>+'Otros Gastos'!AE13*$B6</f>
        <v>0</v>
      </c>
      <c r="AI6" s="88">
        <f>+'Otros Gastos'!AF13*$B6</f>
        <v>0</v>
      </c>
      <c r="AJ6" s="88">
        <f>+'Otros Gastos'!AG13*$B6</f>
        <v>0</v>
      </c>
      <c r="AK6" s="88">
        <f>+'Otros Gastos'!AH13*$B6</f>
        <v>0</v>
      </c>
      <c r="AL6" s="88">
        <f>+'Otros Gastos'!AI13*$B6</f>
        <v>0</v>
      </c>
      <c r="AM6" s="88">
        <f>+'Otros Gastos'!AJ13*$B6</f>
        <v>0</v>
      </c>
      <c r="AN6" s="88">
        <f>+'Otros Gastos'!AK13*$B6</f>
        <v>0</v>
      </c>
      <c r="AO6" s="88">
        <f>+'Otros Gastos'!AL13*$B6</f>
        <v>0</v>
      </c>
      <c r="AP6" s="88">
        <f>+'Otros Gastos'!AM13*$B6</f>
        <v>0</v>
      </c>
    </row>
    <row r="7" spans="1:43" s="90" customFormat="1">
      <c r="A7" s="90" t="s">
        <v>180</v>
      </c>
      <c r="B7" s="91"/>
      <c r="G7" s="92">
        <f t="shared" ref="G7:K7" si="0">IF(OR(G$3="Enero",G$3="Abril",G$3="Julio",G$3="Octubre"),SUM(D5:F5),0)</f>
        <v>0</v>
      </c>
      <c r="H7" s="92">
        <f t="shared" si="0"/>
        <v>0</v>
      </c>
      <c r="I7" s="92">
        <f>IF(OR(I$3="Enero",I$3="Abril",I$3="Julio",I$3="Octubre"),SUM(F5:H5),0)</f>
        <v>0</v>
      </c>
      <c r="J7" s="92">
        <f t="shared" si="0"/>
        <v>0</v>
      </c>
      <c r="K7" s="92">
        <f t="shared" si="0"/>
        <v>0</v>
      </c>
      <c r="L7" s="92">
        <f>IF(OR(L$3="Enero",L$3="Abril",L$3="Julio",L$3="Octubre"),SUM(I5:K5),0)</f>
        <v>0</v>
      </c>
      <c r="M7" s="92">
        <f t="shared" ref="M7:M8" si="1">IF(OR(M$3="Enero",M$3="Abril",M$3="Julio",M$3="Octubre"),SUM(J5:L5),0)</f>
        <v>0</v>
      </c>
      <c r="N7" s="92">
        <f t="shared" ref="N7:N8" si="2">IF(OR(N$3="Enero",N$3="Abril",N$3="Julio",N$3="Octubre"),SUM(K5:M5),0)</f>
        <v>0</v>
      </c>
      <c r="O7" s="92">
        <f t="shared" ref="O7:O8" si="3">IF(OR(O$3="Enero",O$3="Abril",O$3="Julio",O$3="Octubre"),SUM(L5:N5),0)</f>
        <v>0</v>
      </c>
      <c r="P7" s="92">
        <f t="shared" ref="P7:P8" si="4">IF(OR(P$3="Enero",P$3="Abril",P$3="Julio",P$3="Octubre"),SUM(M5:O5),0)</f>
        <v>0</v>
      </c>
      <c r="Q7" s="92">
        <f t="shared" ref="Q7:Q8" si="5">IF(OR(Q$3="Enero",Q$3="Abril",Q$3="Julio",Q$3="Octubre"),SUM(N5:P5),0)</f>
        <v>0</v>
      </c>
      <c r="R7" s="92">
        <f t="shared" ref="R7:R8" si="6">IF(OR(R$3="Enero",R$3="Abril",R$3="Julio",R$3="Octubre"),SUM(O5:Q5),0)</f>
        <v>0</v>
      </c>
      <c r="S7" s="93">
        <f t="shared" ref="S7:S8" si="7">IF(OR(S$3="Enero",S$3="Abril",S$3="Julio",S$3="Octubre"),SUM(P5:R5),0)</f>
        <v>0</v>
      </c>
      <c r="T7" s="93">
        <f t="shared" ref="T7:T8" si="8">IF(OR(T$3="Enero",T$3="Abril",T$3="Julio",T$3="Octubre"),SUM(Q5:S5),0)</f>
        <v>0</v>
      </c>
      <c r="U7" s="93">
        <f t="shared" ref="U7:U8" si="9">IF(OR(U$3="Enero",U$3="Abril",U$3="Julio",U$3="Octubre"),SUM(R5:T5),0)</f>
        <v>0</v>
      </c>
      <c r="V7" s="93">
        <f t="shared" ref="V7:V8" si="10">IF(OR(V$3="Enero",V$3="Abril",V$3="Julio",V$3="Octubre"),SUM(S5:U5),0)</f>
        <v>0</v>
      </c>
      <c r="W7" s="93">
        <f t="shared" ref="W7:W8" si="11">IF(OR(W$3="Enero",W$3="Abril",W$3="Julio",W$3="Octubre"),SUM(T5:V5),0)</f>
        <v>0</v>
      </c>
      <c r="X7" s="93">
        <f t="shared" ref="X7:X8" si="12">IF(OR(X$3="Enero",X$3="Abril",X$3="Julio",X$3="Octubre"),SUM(U5:W5),0)</f>
        <v>0</v>
      </c>
      <c r="Y7" s="93">
        <f t="shared" ref="Y7:Y8" si="13">IF(OR(Y$3="Enero",Y$3="Abril",Y$3="Julio",Y$3="Octubre"),SUM(V5:X5),0)</f>
        <v>0</v>
      </c>
      <c r="Z7" s="93">
        <f t="shared" ref="Z7:Z8" si="14">IF(OR(Z$3="Enero",Z$3="Abril",Z$3="Julio",Z$3="Octubre"),SUM(W5:Y5),0)</f>
        <v>0</v>
      </c>
      <c r="AA7" s="93">
        <f t="shared" ref="AA7:AA8" si="15">IF(OR(AA$3="Enero",AA$3="Abril",AA$3="Julio",AA$3="Octubre"),SUM(X5:Z5),0)</f>
        <v>0</v>
      </c>
      <c r="AB7" s="93">
        <f t="shared" ref="AB7:AB8" si="16">IF(OR(AB$3="Enero",AB$3="Abril",AB$3="Julio",AB$3="Octubre"),SUM(Y5:AA5),0)</f>
        <v>0</v>
      </c>
      <c r="AC7" s="93">
        <f t="shared" ref="AC7:AC8" si="17">IF(OR(AC$3="Enero",AC$3="Abril",AC$3="Julio",AC$3="Octubre"),SUM(Z5:AB5),0)</f>
        <v>0</v>
      </c>
      <c r="AD7" s="93">
        <f t="shared" ref="AD7:AD8" si="18">IF(OR(AD$3="Enero",AD$3="Abril",AD$3="Julio",AD$3="Octubre"),SUM(AA5:AC5),0)</f>
        <v>0</v>
      </c>
      <c r="AE7" s="92">
        <f t="shared" ref="AE7:AE8" si="19">IF(OR(AE$3="Enero",AE$3="Abril",AE$3="Julio",AE$3="Octubre"),SUM(AB5:AD5),0)</f>
        <v>0</v>
      </c>
      <c r="AF7" s="92">
        <f t="shared" ref="AF7:AF8" si="20">IF(OR(AF$3="Enero",AF$3="Abril",AF$3="Julio",AF$3="Octubre"),SUM(AC5:AE5),0)</f>
        <v>0</v>
      </c>
      <c r="AG7" s="92">
        <f t="shared" ref="AG7:AG8" si="21">IF(OR(AG$3="Enero",AG$3="Abril",AG$3="Julio",AG$3="Octubre"),SUM(AD5:AF5),0)</f>
        <v>0</v>
      </c>
      <c r="AH7" s="92">
        <f t="shared" ref="AH7:AH8" si="22">IF(OR(AH$3="Enero",AH$3="Abril",AH$3="Julio",AH$3="Octubre"),SUM(AE5:AG5),0)</f>
        <v>0</v>
      </c>
      <c r="AI7" s="92">
        <f t="shared" ref="AI7:AI8" si="23">IF(OR(AI$3="Enero",AI$3="Abril",AI$3="Julio",AI$3="Octubre"),SUM(AF5:AH5),0)</f>
        <v>0</v>
      </c>
      <c r="AJ7" s="92">
        <f t="shared" ref="AJ7:AJ8" si="24">IF(OR(AJ$3="Enero",AJ$3="Abril",AJ$3="Julio",AJ$3="Octubre"),SUM(AG5:AI5),0)</f>
        <v>0</v>
      </c>
      <c r="AK7" s="92">
        <f t="shared" ref="AK7:AK8" si="25">IF(OR(AK$3="Enero",AK$3="Abril",AK$3="Julio",AK$3="Octubre"),SUM(AH5:AJ5),0)</f>
        <v>0</v>
      </c>
      <c r="AL7" s="92">
        <f t="shared" ref="AL7:AL8" si="26">IF(OR(AL$3="Enero",AL$3="Abril",AL$3="Julio",AL$3="Octubre"),SUM(AI5:AK5),0)</f>
        <v>0</v>
      </c>
      <c r="AM7" s="92">
        <f t="shared" ref="AM7:AM8" si="27">IF(OR(AM$3="Enero",AM$3="Abril",AM$3="Julio",AM$3="Octubre"),SUM(AJ5:AL5),0)</f>
        <v>0</v>
      </c>
      <c r="AN7" s="92">
        <f t="shared" ref="AN7:AN8" si="28">IF(OR(AN$3="Enero",AN$3="Abril",AN$3="Julio",AN$3="Octubre"),SUM(AK5:AM5),0)</f>
        <v>0</v>
      </c>
      <c r="AO7" s="92">
        <f t="shared" ref="AO7:AO8" si="29">IF(OR(AO$3="Enero",AO$3="Abril",AO$3="Julio",AO$3="Octubre"),SUM(AL5:AN5),0)</f>
        <v>0</v>
      </c>
      <c r="AP7" s="92">
        <f t="shared" ref="AP7:AP8" si="30">IF(OR(AP$3="Enero",AP$3="Abril",AP$3="Julio",AP$3="Octubre"),SUM(AM5:AO5),0)</f>
        <v>0</v>
      </c>
    </row>
    <row r="8" spans="1:43" s="90" customFormat="1">
      <c r="A8" s="90" t="s">
        <v>181</v>
      </c>
      <c r="B8" s="91"/>
      <c r="G8" s="92">
        <f t="shared" ref="G8:H8" si="31">IF(OR(G$3="Enero",G$3="Abril",G$3="Julio",G$3="Octubre"),SUM(D6:F6),0)</f>
        <v>0</v>
      </c>
      <c r="H8" s="92">
        <f t="shared" si="31"/>
        <v>0</v>
      </c>
      <c r="I8" s="92">
        <f t="shared" ref="I8" si="32">IF(OR(I$3="Enero",I$3="Abril",I$3="Julio",I$3="Octubre"),SUM(F6:H6),0)</f>
        <v>0</v>
      </c>
      <c r="J8" s="92">
        <f t="shared" ref="J8" si="33">IF(OR(J$3="Enero",J$3="Abril",J$3="Julio",J$3="Octubre"),SUM(G6:I6),0)</f>
        <v>0</v>
      </c>
      <c r="K8" s="92">
        <f t="shared" ref="K8" si="34">IF(OR(K$3="Enero",K$3="Abril",K$3="Julio",K$3="Octubre"),SUM(H6:J6),0)</f>
        <v>0</v>
      </c>
      <c r="L8" s="92">
        <f t="shared" ref="L8" si="35">IF(OR(L$3="Enero",L$3="Abril",L$3="Julio",L$3="Octubre"),SUM(I6:K6),0)</f>
        <v>0</v>
      </c>
      <c r="M8" s="92">
        <f t="shared" si="1"/>
        <v>0</v>
      </c>
      <c r="N8" s="92">
        <f t="shared" si="2"/>
        <v>0</v>
      </c>
      <c r="O8" s="92">
        <f t="shared" si="3"/>
        <v>0</v>
      </c>
      <c r="P8" s="92">
        <f t="shared" si="4"/>
        <v>0</v>
      </c>
      <c r="Q8" s="92">
        <f t="shared" si="5"/>
        <v>0</v>
      </c>
      <c r="R8" s="92">
        <f t="shared" si="6"/>
        <v>0</v>
      </c>
      <c r="S8" s="93">
        <f t="shared" si="7"/>
        <v>0</v>
      </c>
      <c r="T8" s="93">
        <f t="shared" si="8"/>
        <v>0</v>
      </c>
      <c r="U8" s="93">
        <f t="shared" si="9"/>
        <v>0</v>
      </c>
      <c r="V8" s="93">
        <f t="shared" si="10"/>
        <v>0</v>
      </c>
      <c r="W8" s="93">
        <f t="shared" si="11"/>
        <v>0</v>
      </c>
      <c r="X8" s="93">
        <f t="shared" si="12"/>
        <v>0</v>
      </c>
      <c r="Y8" s="93">
        <f t="shared" si="13"/>
        <v>0</v>
      </c>
      <c r="Z8" s="93">
        <f t="shared" si="14"/>
        <v>0</v>
      </c>
      <c r="AA8" s="93">
        <f t="shared" si="15"/>
        <v>0</v>
      </c>
      <c r="AB8" s="93">
        <f t="shared" si="16"/>
        <v>0</v>
      </c>
      <c r="AC8" s="93">
        <f t="shared" si="17"/>
        <v>0</v>
      </c>
      <c r="AD8" s="93">
        <f t="shared" si="18"/>
        <v>0</v>
      </c>
      <c r="AE8" s="92">
        <f t="shared" si="19"/>
        <v>0</v>
      </c>
      <c r="AF8" s="92">
        <f t="shared" si="20"/>
        <v>0</v>
      </c>
      <c r="AG8" s="92">
        <f t="shared" si="21"/>
        <v>0</v>
      </c>
      <c r="AH8" s="92">
        <f t="shared" si="22"/>
        <v>0</v>
      </c>
      <c r="AI8" s="92">
        <f t="shared" si="23"/>
        <v>0</v>
      </c>
      <c r="AJ8" s="92">
        <f t="shared" si="24"/>
        <v>0</v>
      </c>
      <c r="AK8" s="92">
        <f t="shared" si="25"/>
        <v>0</v>
      </c>
      <c r="AL8" s="92">
        <f t="shared" si="26"/>
        <v>0</v>
      </c>
      <c r="AM8" s="92">
        <f t="shared" si="27"/>
        <v>0</v>
      </c>
      <c r="AN8" s="92">
        <f t="shared" si="28"/>
        <v>0</v>
      </c>
      <c r="AO8" s="92">
        <f t="shared" si="29"/>
        <v>0</v>
      </c>
      <c r="AP8" s="92">
        <f t="shared" si="30"/>
        <v>0</v>
      </c>
    </row>
    <row r="9" spans="1:43" s="90" customFormat="1">
      <c r="B9" s="91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</row>
    <row r="10" spans="1:43" s="90" customFormat="1">
      <c r="A10" s="90" t="s">
        <v>230</v>
      </c>
      <c r="B10" s="91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>
        <f>SUM($G5:R6)</f>
        <v>0</v>
      </c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2">
        <f>SUM($G5:AD6)</f>
        <v>0</v>
      </c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>
        <f>SUM($G5:AP6)</f>
        <v>0</v>
      </c>
    </row>
    <row r="11" spans="1:43" s="90" customFormat="1">
      <c r="A11" s="90" t="s">
        <v>231</v>
      </c>
      <c r="B11" s="91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>
        <f>SUM($G7:R8)</f>
        <v>0</v>
      </c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2">
        <f>SUM($G7:AD8)</f>
        <v>0</v>
      </c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>
        <f>SUM($G7:AP8)</f>
        <v>0</v>
      </c>
    </row>
    <row r="12" spans="1:43" s="90" customFormat="1">
      <c r="A12" s="90" t="s">
        <v>232</v>
      </c>
      <c r="B12" s="91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>
        <f>+R10-R11</f>
        <v>0</v>
      </c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2">
        <f>+AD10-AD11</f>
        <v>0</v>
      </c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>
        <f>+AP10-AP11</f>
        <v>0</v>
      </c>
    </row>
    <row r="13" spans="1:43" ht="18.75">
      <c r="A13" s="18" t="s">
        <v>182</v>
      </c>
    </row>
    <row r="14" spans="1:43">
      <c r="A14" t="s">
        <v>183</v>
      </c>
      <c r="G14" s="88">
        <f>+'INGRESOS-GASTOS'!G49</f>
        <v>0</v>
      </c>
      <c r="H14" s="88">
        <f>+'INGRESOS-GASTOS'!H49</f>
        <v>0</v>
      </c>
      <c r="I14" s="88">
        <f>+'INGRESOS-GASTOS'!I49</f>
        <v>0</v>
      </c>
      <c r="J14" s="88">
        <f>+'INGRESOS-GASTOS'!J49</f>
        <v>0</v>
      </c>
      <c r="K14" s="88">
        <f>+'INGRESOS-GASTOS'!K49</f>
        <v>0</v>
      </c>
      <c r="L14" s="88">
        <f>+'INGRESOS-GASTOS'!L49</f>
        <v>0</v>
      </c>
      <c r="M14" s="88">
        <f>+'INGRESOS-GASTOS'!M49</f>
        <v>0</v>
      </c>
      <c r="N14" s="88">
        <f>+'INGRESOS-GASTOS'!N49</f>
        <v>0</v>
      </c>
      <c r="O14" s="88">
        <f>+'INGRESOS-GASTOS'!O49</f>
        <v>0</v>
      </c>
      <c r="P14" s="88">
        <f>+'INGRESOS-GASTOS'!P49</f>
        <v>0</v>
      </c>
      <c r="Q14" s="88">
        <f>+'INGRESOS-GASTOS'!Q49</f>
        <v>0</v>
      </c>
      <c r="R14" s="88">
        <f>+'INGRESOS-GASTOS'!R49</f>
        <v>0</v>
      </c>
      <c r="S14" s="89">
        <f>+'INGRESOS-GASTOS'!S49</f>
        <v>0</v>
      </c>
      <c r="T14" s="89">
        <f>+'INGRESOS-GASTOS'!T49</f>
        <v>0</v>
      </c>
      <c r="U14" s="89">
        <f>+'INGRESOS-GASTOS'!U49</f>
        <v>0</v>
      </c>
      <c r="V14" s="89">
        <f>+'INGRESOS-GASTOS'!V49</f>
        <v>0</v>
      </c>
      <c r="W14" s="89">
        <f>+'INGRESOS-GASTOS'!W49</f>
        <v>0</v>
      </c>
      <c r="X14" s="89">
        <f>+'INGRESOS-GASTOS'!X49</f>
        <v>0</v>
      </c>
      <c r="Y14" s="89">
        <f>+'INGRESOS-GASTOS'!Y49</f>
        <v>0</v>
      </c>
      <c r="Z14" s="89">
        <f>+'INGRESOS-GASTOS'!Z49</f>
        <v>0</v>
      </c>
      <c r="AA14" s="89">
        <f>+'INGRESOS-GASTOS'!AA49</f>
        <v>0</v>
      </c>
      <c r="AB14" s="89">
        <f>+'INGRESOS-GASTOS'!AB49</f>
        <v>0</v>
      </c>
      <c r="AC14" s="89">
        <f>+'INGRESOS-GASTOS'!AC49</f>
        <v>0</v>
      </c>
      <c r="AD14" s="89">
        <f>+'INGRESOS-GASTOS'!AD49</f>
        <v>0</v>
      </c>
      <c r="AE14" s="88">
        <f>+'INGRESOS-GASTOS'!AE49</f>
        <v>0</v>
      </c>
      <c r="AF14" s="88">
        <f>+'INGRESOS-GASTOS'!AF49</f>
        <v>0</v>
      </c>
      <c r="AG14" s="88">
        <f>+'INGRESOS-GASTOS'!AG49</f>
        <v>0</v>
      </c>
      <c r="AH14" s="88">
        <f>+'INGRESOS-GASTOS'!AH49</f>
        <v>0</v>
      </c>
      <c r="AI14" s="88">
        <f>+'INGRESOS-GASTOS'!AI49</f>
        <v>0</v>
      </c>
      <c r="AJ14" s="88">
        <f>+'INGRESOS-GASTOS'!AJ49</f>
        <v>0</v>
      </c>
      <c r="AK14" s="88">
        <f>+'INGRESOS-GASTOS'!AK49</f>
        <v>0</v>
      </c>
      <c r="AL14" s="88">
        <f>+'INGRESOS-GASTOS'!AL49</f>
        <v>0</v>
      </c>
      <c r="AM14" s="88">
        <f>+'INGRESOS-GASTOS'!AM49</f>
        <v>0</v>
      </c>
      <c r="AN14" s="88">
        <f>+'INGRESOS-GASTOS'!AN49</f>
        <v>0</v>
      </c>
      <c r="AO14" s="88">
        <f>+'INGRESOS-GASTOS'!AO49</f>
        <v>0</v>
      </c>
      <c r="AP14" s="88">
        <f>+'INGRESOS-GASTOS'!AP49</f>
        <v>0</v>
      </c>
    </row>
    <row r="15" spans="1:43">
      <c r="A15" t="s">
        <v>184</v>
      </c>
      <c r="G15" s="88">
        <f>+'INGRESOS-GASTOS'!G114</f>
        <v>0</v>
      </c>
      <c r="H15" s="88">
        <f>+'INGRESOS-GASTOS'!H114</f>
        <v>0</v>
      </c>
      <c r="I15" s="88">
        <f>+'INGRESOS-GASTOS'!I114</f>
        <v>0</v>
      </c>
      <c r="J15" s="88">
        <f>+'INGRESOS-GASTOS'!J114</f>
        <v>0</v>
      </c>
      <c r="K15" s="88">
        <f>+'INGRESOS-GASTOS'!K114</f>
        <v>0</v>
      </c>
      <c r="L15" s="88">
        <f>+'INGRESOS-GASTOS'!L114</f>
        <v>0</v>
      </c>
      <c r="M15" s="88">
        <f>+'INGRESOS-GASTOS'!M114</f>
        <v>0</v>
      </c>
      <c r="N15" s="88">
        <f>+'INGRESOS-GASTOS'!N114</f>
        <v>0</v>
      </c>
      <c r="O15" s="88">
        <f>+'INGRESOS-GASTOS'!O114</f>
        <v>0</v>
      </c>
      <c r="P15" s="88">
        <f>+'INGRESOS-GASTOS'!P114</f>
        <v>0</v>
      </c>
      <c r="Q15" s="88">
        <f>+'INGRESOS-GASTOS'!Q114</f>
        <v>0</v>
      </c>
      <c r="R15" s="88">
        <f>+'INGRESOS-GASTOS'!R114</f>
        <v>0</v>
      </c>
      <c r="S15" s="89">
        <f>+'INGRESOS-GASTOS'!S114</f>
        <v>0</v>
      </c>
      <c r="T15" s="89">
        <f>+'INGRESOS-GASTOS'!T114</f>
        <v>0</v>
      </c>
      <c r="U15" s="89">
        <f>+'INGRESOS-GASTOS'!U114</f>
        <v>0</v>
      </c>
      <c r="V15" s="89">
        <f>+'INGRESOS-GASTOS'!V114</f>
        <v>0</v>
      </c>
      <c r="W15" s="89">
        <f>+'INGRESOS-GASTOS'!W114</f>
        <v>0</v>
      </c>
      <c r="X15" s="89">
        <f>+'INGRESOS-GASTOS'!X114</f>
        <v>0</v>
      </c>
      <c r="Y15" s="89">
        <f>+'INGRESOS-GASTOS'!Y114</f>
        <v>0</v>
      </c>
      <c r="Z15" s="89">
        <f>+'INGRESOS-GASTOS'!Z114</f>
        <v>0</v>
      </c>
      <c r="AA15" s="89">
        <f>+'INGRESOS-GASTOS'!AA114</f>
        <v>0</v>
      </c>
      <c r="AB15" s="89">
        <f>+'INGRESOS-GASTOS'!AB114</f>
        <v>0</v>
      </c>
      <c r="AC15" s="89">
        <f>+'INGRESOS-GASTOS'!AC114</f>
        <v>0</v>
      </c>
      <c r="AD15" s="89">
        <f>+'INGRESOS-GASTOS'!AD114</f>
        <v>0</v>
      </c>
      <c r="AE15" s="88">
        <f>+'INGRESOS-GASTOS'!AE114</f>
        <v>0</v>
      </c>
      <c r="AF15" s="88">
        <f>+'INGRESOS-GASTOS'!AF114</f>
        <v>0</v>
      </c>
      <c r="AG15" s="88">
        <f>+'INGRESOS-GASTOS'!AG114</f>
        <v>0</v>
      </c>
      <c r="AH15" s="88">
        <f>+'INGRESOS-GASTOS'!AH114</f>
        <v>0</v>
      </c>
      <c r="AI15" s="88">
        <f>+'INGRESOS-GASTOS'!AI114</f>
        <v>0</v>
      </c>
      <c r="AJ15" s="88">
        <f>+'INGRESOS-GASTOS'!AJ114</f>
        <v>0</v>
      </c>
      <c r="AK15" s="88">
        <f>+'INGRESOS-GASTOS'!AK114</f>
        <v>0</v>
      </c>
      <c r="AL15" s="88">
        <f>+'INGRESOS-GASTOS'!AL114</f>
        <v>0</v>
      </c>
      <c r="AM15" s="88">
        <f>+'INGRESOS-GASTOS'!AM114</f>
        <v>0</v>
      </c>
      <c r="AN15" s="88">
        <f>+'INGRESOS-GASTOS'!AN114</f>
        <v>0</v>
      </c>
      <c r="AO15" s="88">
        <f>+'INGRESOS-GASTOS'!AO114</f>
        <v>0</v>
      </c>
      <c r="AP15" s="88">
        <f>+'INGRESOS-GASTOS'!AP114</f>
        <v>0</v>
      </c>
    </row>
    <row r="16" spans="1:43">
      <c r="A16" t="s">
        <v>185</v>
      </c>
      <c r="G16" s="88">
        <f>+'INGRESOS-GASTOS'!G163</f>
        <v>0</v>
      </c>
      <c r="H16" s="88">
        <f>+'INGRESOS-GASTOS'!H163</f>
        <v>0</v>
      </c>
      <c r="I16" s="88">
        <f>+'INGRESOS-GASTOS'!I163</f>
        <v>0</v>
      </c>
      <c r="J16" s="88">
        <f>+'INGRESOS-GASTOS'!J163</f>
        <v>0</v>
      </c>
      <c r="K16" s="88">
        <f>+'INGRESOS-GASTOS'!K163</f>
        <v>0</v>
      </c>
      <c r="L16" s="88">
        <f>+'INGRESOS-GASTOS'!L163</f>
        <v>0</v>
      </c>
      <c r="M16" s="88">
        <f>+'INGRESOS-GASTOS'!M163</f>
        <v>0</v>
      </c>
      <c r="N16" s="88">
        <f>+'INGRESOS-GASTOS'!N163</f>
        <v>0</v>
      </c>
      <c r="O16" s="88">
        <f>+'INGRESOS-GASTOS'!O163</f>
        <v>0</v>
      </c>
      <c r="P16" s="88">
        <f>+'INGRESOS-GASTOS'!P163</f>
        <v>0</v>
      </c>
      <c r="Q16" s="88">
        <f>+'INGRESOS-GASTOS'!Q163</f>
        <v>0</v>
      </c>
      <c r="R16" s="88">
        <f>+'INGRESOS-GASTOS'!R163</f>
        <v>0</v>
      </c>
      <c r="S16" s="89">
        <f>+'INGRESOS-GASTOS'!S163</f>
        <v>0</v>
      </c>
      <c r="T16" s="89">
        <f>+'INGRESOS-GASTOS'!T163</f>
        <v>0</v>
      </c>
      <c r="U16" s="89">
        <f>+'INGRESOS-GASTOS'!U163</f>
        <v>0</v>
      </c>
      <c r="V16" s="89">
        <f>+'INGRESOS-GASTOS'!V163</f>
        <v>0</v>
      </c>
      <c r="W16" s="89">
        <f>+'INGRESOS-GASTOS'!W163</f>
        <v>0</v>
      </c>
      <c r="X16" s="89">
        <f>+'INGRESOS-GASTOS'!X163</f>
        <v>0</v>
      </c>
      <c r="Y16" s="89">
        <f>+'INGRESOS-GASTOS'!Y163</f>
        <v>0</v>
      </c>
      <c r="Z16" s="89">
        <f>+'INGRESOS-GASTOS'!Z163</f>
        <v>0</v>
      </c>
      <c r="AA16" s="89">
        <f>+'INGRESOS-GASTOS'!AA163</f>
        <v>0</v>
      </c>
      <c r="AB16" s="89">
        <f>+'INGRESOS-GASTOS'!AB163</f>
        <v>0</v>
      </c>
      <c r="AC16" s="89">
        <f>+'INGRESOS-GASTOS'!AC163</f>
        <v>0</v>
      </c>
      <c r="AD16" s="89">
        <f>+'INGRESOS-GASTOS'!AD163</f>
        <v>0</v>
      </c>
      <c r="AE16" s="88">
        <f>+'INGRESOS-GASTOS'!AE163</f>
        <v>0</v>
      </c>
      <c r="AF16" s="88">
        <f>+'INGRESOS-GASTOS'!AF163</f>
        <v>0</v>
      </c>
      <c r="AG16" s="88">
        <f>+'INGRESOS-GASTOS'!AG163</f>
        <v>0</v>
      </c>
      <c r="AH16" s="88">
        <f>+'INGRESOS-GASTOS'!AH163</f>
        <v>0</v>
      </c>
      <c r="AI16" s="88">
        <f>+'INGRESOS-GASTOS'!AI163</f>
        <v>0</v>
      </c>
      <c r="AJ16" s="88">
        <f>+'INGRESOS-GASTOS'!AJ163</f>
        <v>0</v>
      </c>
      <c r="AK16" s="88">
        <f>+'INGRESOS-GASTOS'!AK163</f>
        <v>0</v>
      </c>
      <c r="AL16" s="88">
        <f>+'INGRESOS-GASTOS'!AL163</f>
        <v>0</v>
      </c>
      <c r="AM16" s="88">
        <f>+'INGRESOS-GASTOS'!AM163</f>
        <v>0</v>
      </c>
      <c r="AN16" s="88">
        <f>+'INGRESOS-GASTOS'!AN163</f>
        <v>0</v>
      </c>
      <c r="AO16" s="88">
        <f>+'INGRESOS-GASTOS'!AO163</f>
        <v>0</v>
      </c>
      <c r="AP16" s="88">
        <f>+'INGRESOS-GASTOS'!AP163</f>
        <v>0</v>
      </c>
    </row>
    <row r="17" spans="1:42">
      <c r="A17" t="s">
        <v>186</v>
      </c>
      <c r="G17" s="88">
        <f>-SUM('Tesorería mensual'!C12:C30)+G6+SUM('Resultados mensuales '!C11:C29)</f>
        <v>0</v>
      </c>
      <c r="H17" s="88">
        <f>-SUM('Tesorería mensual'!D12:D30)+H6+SUM('Resultados mensuales '!D11:D29)</f>
        <v>0</v>
      </c>
      <c r="I17" s="88">
        <f>-SUM('Tesorería mensual'!E12:E30)+I6+SUM('Resultados mensuales '!E11:E29)</f>
        <v>0</v>
      </c>
      <c r="J17" s="88">
        <f>-SUM('Tesorería mensual'!F12:F30)+J6+SUM('Resultados mensuales '!F11:F29)</f>
        <v>0</v>
      </c>
      <c r="K17" s="88">
        <f>-SUM('Tesorería mensual'!G12:G30)+K6+SUM('Resultados mensuales '!G11:G29)</f>
        <v>0</v>
      </c>
      <c r="L17" s="88">
        <f>-SUM('Tesorería mensual'!H12:H30)+L6+SUM('Resultados mensuales '!H11:H29)</f>
        <v>0</v>
      </c>
      <c r="M17" s="88">
        <f>-SUM('Tesorería mensual'!I12:I30)+M6+SUM('Resultados mensuales '!I11:I29)</f>
        <v>0</v>
      </c>
      <c r="N17" s="88">
        <f>-SUM('Tesorería mensual'!J12:J30)+N6+SUM('Resultados mensuales '!J11:J29)</f>
        <v>0</v>
      </c>
      <c r="O17" s="88">
        <f>-SUM('Tesorería mensual'!K12:K30)+O6+SUM('Resultados mensuales '!K11:K29)</f>
        <v>0</v>
      </c>
      <c r="P17" s="88">
        <f>-SUM('Tesorería mensual'!L12:L30)+P6+SUM('Resultados mensuales '!L11:L29)</f>
        <v>0</v>
      </c>
      <c r="Q17" s="88">
        <f>-SUM('Tesorería mensual'!M12:M30)+Q6+SUM('Resultados mensuales '!M11:M29)</f>
        <v>0</v>
      </c>
      <c r="R17" s="88">
        <f>-SUM('Tesorería mensual'!N12:N30)+R6+SUM('Resultados mensuales '!N11:N29)</f>
        <v>0</v>
      </c>
      <c r="S17" s="89">
        <f>-SUM('Tesorería mensual'!O12:O30)+S6+SUM('Resultados mensuales '!O11:O29)</f>
        <v>0</v>
      </c>
      <c r="T17" s="89">
        <f>-SUM('Tesorería mensual'!P12:P30)+T6+SUM('Resultados mensuales '!P11:P29)</f>
        <v>0</v>
      </c>
      <c r="U17" s="89">
        <f>-SUM('Tesorería mensual'!Q12:Q30)+U6+SUM('Resultados mensuales '!Q11:Q29)</f>
        <v>0</v>
      </c>
      <c r="V17" s="89">
        <f>-SUM('Tesorería mensual'!R12:R30)+V6+SUM('Resultados mensuales '!R11:R29)</f>
        <v>0</v>
      </c>
      <c r="W17" s="89">
        <f>-SUM('Tesorería mensual'!S12:S30)+W6+SUM('Resultados mensuales '!S11:S29)</f>
        <v>0</v>
      </c>
      <c r="X17" s="89">
        <f>-SUM('Tesorería mensual'!T12:T30)+X6+SUM('Resultados mensuales '!T11:T29)</f>
        <v>0</v>
      </c>
      <c r="Y17" s="89">
        <f>-SUM('Tesorería mensual'!U12:U30)+Y6+SUM('Resultados mensuales '!U11:U29)</f>
        <v>0</v>
      </c>
      <c r="Z17" s="89">
        <f>-SUM('Tesorería mensual'!V12:V30)+Z6+SUM('Resultados mensuales '!V11:V29)</f>
        <v>0</v>
      </c>
      <c r="AA17" s="89">
        <f>-SUM('Tesorería mensual'!W12:W30)+AA6+SUM('Resultados mensuales '!W11:W29)</f>
        <v>0</v>
      </c>
      <c r="AB17" s="89">
        <f>-SUM('Tesorería mensual'!X12:X30)+AB6+SUM('Resultados mensuales '!X11:X29)</f>
        <v>0</v>
      </c>
      <c r="AC17" s="89">
        <f>-SUM('Tesorería mensual'!Y12:Y30)+AC6+SUM('Resultados mensuales '!Y11:Y29)</f>
        <v>0</v>
      </c>
      <c r="AD17" s="89">
        <f>-SUM('Tesorería mensual'!Z12:Z30)+AD6+SUM('Resultados mensuales '!Z11:Z29)</f>
        <v>0</v>
      </c>
      <c r="AE17" s="88">
        <f>-SUM('Tesorería mensual'!AA12:AA30)+AE6+SUM('Resultados mensuales '!AA11:AA29)</f>
        <v>0</v>
      </c>
      <c r="AF17" s="88">
        <f>-SUM('Tesorería mensual'!AB12:AB30)+AF6+SUM('Resultados mensuales '!AB11:AB29)</f>
        <v>0</v>
      </c>
      <c r="AG17" s="88">
        <f>-SUM('Tesorería mensual'!AC12:AC30)+AG6+SUM('Resultados mensuales '!AC11:AC29)</f>
        <v>0</v>
      </c>
      <c r="AH17" s="88">
        <f>-SUM('Tesorería mensual'!AD12:AD30)+AH6+SUM('Resultados mensuales '!AD11:AD29)</f>
        <v>0</v>
      </c>
      <c r="AI17" s="88">
        <f>-SUM('Tesorería mensual'!AE12:AE30)+AI6+SUM('Resultados mensuales '!AE11:AE29)</f>
        <v>0</v>
      </c>
      <c r="AJ17" s="88">
        <f>-SUM('Tesorería mensual'!AF12:AF30)+AJ6+SUM('Resultados mensuales '!AF11:AF29)</f>
        <v>0</v>
      </c>
      <c r="AK17" s="88">
        <f>-SUM('Tesorería mensual'!AG12:AG30)+AK6+SUM('Resultados mensuales '!AG11:AG29)</f>
        <v>0</v>
      </c>
      <c r="AL17" s="88">
        <f>-SUM('Tesorería mensual'!AH12:AH30)+AL6+SUM('Resultados mensuales '!AH11:AH29)</f>
        <v>0</v>
      </c>
      <c r="AM17" s="88">
        <f>-SUM('Tesorería mensual'!AI12:AI30)+AM6+SUM('Resultados mensuales '!AI11:AI29)</f>
        <v>0</v>
      </c>
      <c r="AN17" s="88">
        <f>-SUM('Tesorería mensual'!AJ12:AJ30)+AN6+SUM('Resultados mensuales '!AJ11:AJ29)</f>
        <v>0</v>
      </c>
      <c r="AO17" s="88">
        <f>-SUM('Tesorería mensual'!AK12:AK30)+AO6+SUM('Resultados mensuales '!AK11:AK29)</f>
        <v>0</v>
      </c>
      <c r="AP17" s="88">
        <f>-SUM('Tesorería mensual'!AL12:AL30)+AP6+SUM('Resultados mensuales '!AL11:AL29)</f>
        <v>0</v>
      </c>
    </row>
    <row r="18" spans="1:42">
      <c r="A18" t="s">
        <v>187</v>
      </c>
      <c r="G18" s="88">
        <f>+'Inversión-Financiación'!G20</f>
        <v>0</v>
      </c>
      <c r="H18" s="88">
        <f>+'Inversión-Financiación'!H20</f>
        <v>0</v>
      </c>
      <c r="I18" s="88">
        <f>+'Inversión-Financiación'!I20</f>
        <v>0</v>
      </c>
      <c r="J18" s="88">
        <f>+'Inversión-Financiación'!J20</f>
        <v>0</v>
      </c>
      <c r="K18" s="88">
        <f>+'Inversión-Financiación'!K20</f>
        <v>0</v>
      </c>
      <c r="L18" s="88">
        <f>+'Inversión-Financiación'!L20</f>
        <v>0</v>
      </c>
      <c r="M18" s="88">
        <f>+'Inversión-Financiación'!M20</f>
        <v>0</v>
      </c>
      <c r="N18" s="88">
        <f>+'Inversión-Financiación'!N20</f>
        <v>0</v>
      </c>
      <c r="O18" s="88">
        <f>+'Inversión-Financiación'!O20</f>
        <v>0</v>
      </c>
      <c r="P18" s="88">
        <f>+'Inversión-Financiación'!P20</f>
        <v>0</v>
      </c>
      <c r="Q18" s="88">
        <f>+'Inversión-Financiación'!Q20</f>
        <v>0</v>
      </c>
      <c r="R18" s="88">
        <f>+'Inversión-Financiación'!R20</f>
        <v>0</v>
      </c>
      <c r="S18" s="89">
        <f>+'Inversión-Financiación'!S20</f>
        <v>0</v>
      </c>
      <c r="T18" s="89">
        <f>+'Inversión-Financiación'!T20</f>
        <v>0</v>
      </c>
      <c r="U18" s="89">
        <f>+'Inversión-Financiación'!U20</f>
        <v>0</v>
      </c>
      <c r="V18" s="89">
        <f>+'Inversión-Financiación'!V20</f>
        <v>0</v>
      </c>
      <c r="W18" s="89">
        <f>+'Inversión-Financiación'!W20</f>
        <v>0</v>
      </c>
      <c r="X18" s="89">
        <f>+'Inversión-Financiación'!X20</f>
        <v>0</v>
      </c>
      <c r="Y18" s="89">
        <f>+'Inversión-Financiación'!Y20</f>
        <v>0</v>
      </c>
      <c r="Z18" s="89">
        <f>+'Inversión-Financiación'!Z20</f>
        <v>0</v>
      </c>
      <c r="AA18" s="89">
        <f>+'Inversión-Financiación'!AA20</f>
        <v>0</v>
      </c>
      <c r="AB18" s="89">
        <f>+'Inversión-Financiación'!AB20</f>
        <v>0</v>
      </c>
      <c r="AC18" s="89">
        <f>+'Inversión-Financiación'!AC20</f>
        <v>0</v>
      </c>
      <c r="AD18" s="89">
        <f>+'Inversión-Financiación'!AD20</f>
        <v>0</v>
      </c>
      <c r="AE18" s="88">
        <f>+'Inversión-Financiación'!AE20</f>
        <v>0</v>
      </c>
      <c r="AF18" s="88">
        <f>+'Inversión-Financiación'!AF20</f>
        <v>0</v>
      </c>
      <c r="AG18" s="88">
        <f>+'Inversión-Financiación'!AG20</f>
        <v>0</v>
      </c>
      <c r="AH18" s="88">
        <f>+'Inversión-Financiación'!AH20</f>
        <v>0</v>
      </c>
      <c r="AI18" s="88">
        <f>+'Inversión-Financiación'!AI20</f>
        <v>0</v>
      </c>
      <c r="AJ18" s="88">
        <f>+'Inversión-Financiación'!AJ20</f>
        <v>0</v>
      </c>
      <c r="AK18" s="88">
        <f>+'Inversión-Financiación'!AK20</f>
        <v>0</v>
      </c>
      <c r="AL18" s="88">
        <f>+'Inversión-Financiación'!AL20</f>
        <v>0</v>
      </c>
      <c r="AM18" s="88">
        <f>+'Inversión-Financiación'!AM20</f>
        <v>0</v>
      </c>
      <c r="AN18" s="88">
        <f>+'Inversión-Financiación'!AN20</f>
        <v>0</v>
      </c>
      <c r="AO18" s="88">
        <f>+'Inversión-Financiación'!AO20</f>
        <v>0</v>
      </c>
      <c r="AP18" s="88">
        <f>+'Inversión-Financiación'!AP20</f>
        <v>0</v>
      </c>
    </row>
    <row r="19" spans="1:42" s="90" customFormat="1">
      <c r="A19" s="90" t="s">
        <v>188</v>
      </c>
      <c r="B19" s="91"/>
      <c r="G19" s="92">
        <f>+G14-G15-G16-G17-G18</f>
        <v>0</v>
      </c>
      <c r="H19" s="92">
        <f t="shared" ref="H19:AP19" si="36">+H14-H15-H16-H17-H18</f>
        <v>0</v>
      </c>
      <c r="I19" s="92">
        <f>+I14-I15-I16-I17-I18</f>
        <v>0</v>
      </c>
      <c r="J19" s="92">
        <f t="shared" si="36"/>
        <v>0</v>
      </c>
      <c r="K19" s="92">
        <f t="shared" si="36"/>
        <v>0</v>
      </c>
      <c r="L19" s="92">
        <f t="shared" si="36"/>
        <v>0</v>
      </c>
      <c r="M19" s="92">
        <f t="shared" si="36"/>
        <v>0</v>
      </c>
      <c r="N19" s="92">
        <f t="shared" si="36"/>
        <v>0</v>
      </c>
      <c r="O19" s="92">
        <f t="shared" si="36"/>
        <v>0</v>
      </c>
      <c r="P19" s="92">
        <f t="shared" si="36"/>
        <v>0</v>
      </c>
      <c r="Q19" s="92">
        <f t="shared" si="36"/>
        <v>0</v>
      </c>
      <c r="R19" s="92">
        <f t="shared" si="36"/>
        <v>0</v>
      </c>
      <c r="S19" s="93">
        <f t="shared" si="36"/>
        <v>0</v>
      </c>
      <c r="T19" s="93">
        <f t="shared" si="36"/>
        <v>0</v>
      </c>
      <c r="U19" s="93">
        <f t="shared" si="36"/>
        <v>0</v>
      </c>
      <c r="V19" s="93">
        <f t="shared" si="36"/>
        <v>0</v>
      </c>
      <c r="W19" s="93">
        <f t="shared" si="36"/>
        <v>0</v>
      </c>
      <c r="X19" s="93">
        <f t="shared" si="36"/>
        <v>0</v>
      </c>
      <c r="Y19" s="93">
        <f t="shared" si="36"/>
        <v>0</v>
      </c>
      <c r="Z19" s="93">
        <f t="shared" si="36"/>
        <v>0</v>
      </c>
      <c r="AA19" s="93">
        <f t="shared" si="36"/>
        <v>0</v>
      </c>
      <c r="AB19" s="93">
        <f t="shared" si="36"/>
        <v>0</v>
      </c>
      <c r="AC19" s="93">
        <f t="shared" si="36"/>
        <v>0</v>
      </c>
      <c r="AD19" s="93">
        <f t="shared" si="36"/>
        <v>0</v>
      </c>
      <c r="AE19" s="92">
        <f t="shared" si="36"/>
        <v>0</v>
      </c>
      <c r="AF19" s="92">
        <f t="shared" si="36"/>
        <v>0</v>
      </c>
      <c r="AG19" s="92">
        <f t="shared" si="36"/>
        <v>0</v>
      </c>
      <c r="AH19" s="92">
        <f t="shared" si="36"/>
        <v>0</v>
      </c>
      <c r="AI19" s="92">
        <f t="shared" si="36"/>
        <v>0</v>
      </c>
      <c r="AJ19" s="92">
        <f t="shared" si="36"/>
        <v>0</v>
      </c>
      <c r="AK19" s="92">
        <f t="shared" si="36"/>
        <v>0</v>
      </c>
      <c r="AL19" s="92">
        <f t="shared" si="36"/>
        <v>0</v>
      </c>
      <c r="AM19" s="92">
        <f t="shared" si="36"/>
        <v>0</v>
      </c>
      <c r="AN19" s="92">
        <f t="shared" si="36"/>
        <v>0</v>
      </c>
      <c r="AO19" s="92">
        <f t="shared" si="36"/>
        <v>0</v>
      </c>
      <c r="AP19" s="92">
        <f t="shared" si="36"/>
        <v>0</v>
      </c>
    </row>
    <row r="20" spans="1:42" s="90" customFormat="1">
      <c r="A20" s="90" t="s">
        <v>189</v>
      </c>
      <c r="B20" s="91"/>
      <c r="G20" s="92">
        <f>IF(OR(G$3="Enero",G$3="Abril",G$3="Julio",G$3="Octubre"),SUM(F19:$G19),0)-SUM(F21:$G21)</f>
        <v>0</v>
      </c>
      <c r="H20" s="92">
        <f>IF(OR(H$3="Enero",H$3="Abril",H$3="Julio",H$3="Octubre"),SUM($G19:G19),0)-SUM($G21:G21)</f>
        <v>0</v>
      </c>
      <c r="I20" s="92">
        <f>IF(OR(I$3="Enero",I$3="Abril",I$3="Julio",I$3="Octubre"),SUM($G19:H19),0)-SUM($G21:H21)</f>
        <v>0</v>
      </c>
      <c r="J20" s="92">
        <f>IF(OR(J$3="Enero",J$3="Abril",J$3="Julio",J$3="Octubre"),SUM($G19:I19),0)-SUM($G21:I21)</f>
        <v>0</v>
      </c>
      <c r="K20" s="92">
        <f>IF(OR(K$3="Enero",K$3="Abril",K$3="Julio",K$3="Octubre"),SUM($G19:J19),0)-SUM($G21:J21)</f>
        <v>0</v>
      </c>
      <c r="L20" s="92">
        <f>IF(OR(L$3="Enero",L$3="Abril",L$3="Julio",L$3="Octubre"),SUM($G19:K19),0)-SUM($G21:K21)</f>
        <v>0</v>
      </c>
      <c r="M20" s="92">
        <f>IF(OR(M$3="Enero",M$3="Abril",M$3="Julio",M$3="Octubre"),SUM($G19:L19),0)-SUM($G21:L21)</f>
        <v>0</v>
      </c>
      <c r="N20" s="92">
        <f>IF(OR(N$3="Enero",N$3="Abril",N$3="Julio",N$3="Octubre"),SUM($G19:M19),0)-SUM($G21:M21)</f>
        <v>0</v>
      </c>
      <c r="O20" s="92">
        <f>IF(OR(O$3="Enero",O$3="Abril",O$3="Julio",O$3="Octubre"),SUM($G19:N19),0)-SUM($G21:N21)</f>
        <v>0</v>
      </c>
      <c r="P20" s="92">
        <f>IF(OR(P$3="Enero",P$3="Abril",P$3="Julio",P$3="Octubre"),SUM($G19:O19),0)-SUM($G21:O21)</f>
        <v>0</v>
      </c>
      <c r="Q20" s="92">
        <f>IF(OR(Q$3="Enero",Q$3="Abril",Q$3="Julio",Q$3="Octubre"),SUM($G19:P19),0)-SUM($G21:P21)</f>
        <v>0</v>
      </c>
      <c r="R20" s="92">
        <f>IF(OR(R$3="Enero",R$3="Abril",R$3="Julio",R$3="Octubre"),SUM($G19:Q19),0)-SUM($G21:Q21)</f>
        <v>0</v>
      </c>
      <c r="S20" s="93">
        <f>IF(OR(S$3="Enero",S$3="Abril",S$3="Julio",S$3="Octubre"),SUM($G19:R19),0)-SUM($G21:R21)</f>
        <v>0</v>
      </c>
      <c r="T20" s="93">
        <f>IF(OR(T$3="Enero",T$3="Abril",T$3="Julio",T$3="Octubre"),SUM($G19:S19),0)-SUM($G21:S21)</f>
        <v>0</v>
      </c>
      <c r="U20" s="93">
        <f>IF(OR(U$3="Enero",U$3="Abril",U$3="Julio",U$3="Octubre"),SUM($G19:T19),0)-SUM($G21:T21)</f>
        <v>0</v>
      </c>
      <c r="V20" s="93">
        <f>IF(OR(V$3="Enero",V$3="Abril",V$3="Julio",V$3="Octubre"),SUM($G19:U19),0)-SUM($G21:U21)</f>
        <v>0</v>
      </c>
      <c r="W20" s="93">
        <f>IF(OR(W$3="Enero",W$3="Abril",W$3="Julio",W$3="Octubre"),SUM($G19:V19),0)-SUM($G21:V21)</f>
        <v>0</v>
      </c>
      <c r="X20" s="93">
        <f>IF(OR(X$3="Enero",X$3="Abril",X$3="Julio",X$3="Octubre"),SUM($G19:W19),0)-SUM($G21:W21)</f>
        <v>0</v>
      </c>
      <c r="Y20" s="93">
        <f>IF(OR(Y$3="Enero",Y$3="Abril",Y$3="Julio",Y$3="Octubre"),SUM($G19:X19),0)-SUM($G21:X21)</f>
        <v>0</v>
      </c>
      <c r="Z20" s="93">
        <f>IF(OR(Z$3="Enero",Z$3="Abril",Z$3="Julio",Z$3="Octubre"),SUM($G19:Y19),0)-SUM($G21:Y21)</f>
        <v>0</v>
      </c>
      <c r="AA20" s="93">
        <f>IF(OR(AA$3="Enero",AA$3="Abril",AA$3="Julio",AA$3="Octubre"),SUM($G19:Z19),0)-SUM($G21:Z21)</f>
        <v>0</v>
      </c>
      <c r="AB20" s="93">
        <f>IF(OR(AB$3="Enero",AB$3="Abril",AB$3="Julio",AB$3="Octubre"),SUM($G19:AA19),0)-SUM($G21:AA21)</f>
        <v>0</v>
      </c>
      <c r="AC20" s="93">
        <f>IF(OR(AC$3="Enero",AC$3="Abril",AC$3="Julio",AC$3="Octubre"),SUM($G19:AB19),0)-SUM($G21:AB21)</f>
        <v>0</v>
      </c>
      <c r="AD20" s="93">
        <f>IF(OR(AD$3="Enero",AD$3="Abril",AD$3="Julio",AD$3="Octubre"),SUM($G19:AC19),0)-SUM($G21:AC21)</f>
        <v>0</v>
      </c>
      <c r="AE20" s="92">
        <f>IF(OR(AE$3="Enero",AE$3="Abril",AE$3="Julio",AE$3="Octubre"),SUM($G19:AD19),0)-SUM($G21:AD21)</f>
        <v>0</v>
      </c>
      <c r="AF20" s="92">
        <f>IF(OR(AF$3="Enero",AF$3="Abril",AF$3="Julio",AF$3="Octubre"),SUM($G19:AE19),0)-SUM($G21:AE21)</f>
        <v>0</v>
      </c>
      <c r="AG20" s="92">
        <f>IF(OR(AG$3="Enero",AG$3="Abril",AG$3="Julio",AG$3="Octubre"),SUM($G19:AF19),0)-SUM($G21:AF21)</f>
        <v>0</v>
      </c>
      <c r="AH20" s="92">
        <f>IF(OR(AH$3="Enero",AH$3="Abril",AH$3="Julio",AH$3="Octubre"),SUM($G19:AG19),0)-SUM($G21:AG21)</f>
        <v>0</v>
      </c>
      <c r="AI20" s="92">
        <f>IF(OR(AI$3="Enero",AI$3="Abril",AI$3="Julio",AI$3="Octubre"),SUM($G19:AH19),0)-SUM($G21:AH21)</f>
        <v>0</v>
      </c>
      <c r="AJ20" s="92">
        <f>IF(OR(AJ$3="Enero",AJ$3="Abril",AJ$3="Julio",AJ$3="Octubre"),SUM($G19:AI19),0)-SUM($G21:AI21)</f>
        <v>0</v>
      </c>
      <c r="AK20" s="92">
        <f>IF(OR(AK$3="Enero",AK$3="Abril",AK$3="Julio",AK$3="Octubre"),SUM($G19:AJ19),0)-SUM($G21:AJ21)</f>
        <v>0</v>
      </c>
      <c r="AL20" s="92">
        <f>IF(OR(AL$3="Enero",AL$3="Abril",AL$3="Julio",AL$3="Octubre"),SUM($G19:AK19),0)-SUM($G21:AK21)</f>
        <v>0</v>
      </c>
      <c r="AM20" s="92">
        <f>IF(OR(AM$3="Enero",AM$3="Abril",AM$3="Julio",AM$3="Octubre"),SUM($G19:AL19),0)-SUM($G21:AL21)</f>
        <v>0</v>
      </c>
      <c r="AN20" s="92">
        <f>IF(OR(AN$3="Enero",AN$3="Abril",AN$3="Julio",AN$3="Octubre"),SUM($G19:AM19),0)-SUM($G21:AM21)</f>
        <v>0</v>
      </c>
      <c r="AO20" s="92">
        <f>IF(OR(AO$3="Enero",AO$3="Abril",AO$3="Julio",AO$3="Octubre"),SUM($G19:AN19),0)-SUM($G21:AN21)</f>
        <v>0</v>
      </c>
      <c r="AP20" s="92">
        <f>IF(OR(AP$3="Enero",AP$3="Abril",AP$3="Julio",AP$3="Octubre"),SUM($G19:AO19),0)-SUM($G21:AO21)</f>
        <v>0</v>
      </c>
    </row>
    <row r="21" spans="1:42" s="90" customFormat="1">
      <c r="A21" s="90" t="s">
        <v>190</v>
      </c>
      <c r="B21" s="91"/>
      <c r="G21" s="92">
        <v>0</v>
      </c>
      <c r="H21" s="92">
        <f t="shared" ref="H21" si="37">IF(H20&lt;0,0,H20)</f>
        <v>0</v>
      </c>
      <c r="I21" s="92">
        <f t="shared" ref="I21:AP21" si="38">IF(I20&lt;0,0,I20)</f>
        <v>0</v>
      </c>
      <c r="J21" s="92">
        <f t="shared" si="38"/>
        <v>0</v>
      </c>
      <c r="K21" s="92">
        <f t="shared" si="38"/>
        <v>0</v>
      </c>
      <c r="L21" s="92">
        <f t="shared" si="38"/>
        <v>0</v>
      </c>
      <c r="M21" s="92">
        <f t="shared" si="38"/>
        <v>0</v>
      </c>
      <c r="N21" s="92">
        <f t="shared" si="38"/>
        <v>0</v>
      </c>
      <c r="O21" s="92">
        <f t="shared" si="38"/>
        <v>0</v>
      </c>
      <c r="P21" s="92">
        <f t="shared" si="38"/>
        <v>0</v>
      </c>
      <c r="Q21" s="92">
        <f t="shared" si="38"/>
        <v>0</v>
      </c>
      <c r="R21" s="92">
        <f>IF(R20&lt;0,0,R20)</f>
        <v>0</v>
      </c>
      <c r="S21" s="93">
        <f t="shared" si="38"/>
        <v>0</v>
      </c>
      <c r="T21" s="93">
        <f t="shared" si="38"/>
        <v>0</v>
      </c>
      <c r="U21" s="93">
        <f>IF(U20&lt;0,0,U20)</f>
        <v>0</v>
      </c>
      <c r="V21" s="93">
        <f t="shared" si="38"/>
        <v>0</v>
      </c>
      <c r="W21" s="93">
        <f t="shared" si="38"/>
        <v>0</v>
      </c>
      <c r="X21" s="93">
        <f t="shared" si="38"/>
        <v>0</v>
      </c>
      <c r="Y21" s="93">
        <f t="shared" si="38"/>
        <v>0</v>
      </c>
      <c r="Z21" s="93">
        <f t="shared" si="38"/>
        <v>0</v>
      </c>
      <c r="AA21" s="93">
        <f t="shared" si="38"/>
        <v>0</v>
      </c>
      <c r="AB21" s="93">
        <f t="shared" si="38"/>
        <v>0</v>
      </c>
      <c r="AC21" s="93">
        <f t="shared" si="38"/>
        <v>0</v>
      </c>
      <c r="AD21" s="93">
        <f t="shared" si="38"/>
        <v>0</v>
      </c>
      <c r="AE21" s="92">
        <f t="shared" si="38"/>
        <v>0</v>
      </c>
      <c r="AF21" s="92">
        <f t="shared" si="38"/>
        <v>0</v>
      </c>
      <c r="AG21" s="92">
        <f t="shared" si="38"/>
        <v>0</v>
      </c>
      <c r="AH21" s="92">
        <f t="shared" si="38"/>
        <v>0</v>
      </c>
      <c r="AI21" s="92">
        <f t="shared" si="38"/>
        <v>0</v>
      </c>
      <c r="AJ21" s="92">
        <f t="shared" si="38"/>
        <v>0</v>
      </c>
      <c r="AK21" s="92">
        <f t="shared" si="38"/>
        <v>0</v>
      </c>
      <c r="AL21" s="92">
        <f t="shared" si="38"/>
        <v>0</v>
      </c>
      <c r="AM21" s="92">
        <f t="shared" si="38"/>
        <v>0</v>
      </c>
      <c r="AN21" s="92">
        <f t="shared" si="38"/>
        <v>0</v>
      </c>
      <c r="AO21" s="92">
        <f t="shared" si="38"/>
        <v>0</v>
      </c>
      <c r="AP21" s="92">
        <f t="shared" si="38"/>
        <v>0</v>
      </c>
    </row>
    <row r="23" spans="1:42">
      <c r="A23" s="90" t="s">
        <v>226</v>
      </c>
      <c r="B23"/>
      <c r="J23" t="s">
        <v>46</v>
      </c>
      <c r="R23" s="136">
        <f>SUM($G14:R14)</f>
        <v>0</v>
      </c>
      <c r="AD23" s="136">
        <f>SUM($G14:AD14)</f>
        <v>0</v>
      </c>
      <c r="AP23" s="136">
        <f>SUM($G14:AP14)</f>
        <v>0</v>
      </c>
    </row>
    <row r="24" spans="1:42">
      <c r="A24" s="90" t="s">
        <v>227</v>
      </c>
      <c r="R24" s="136">
        <f>SUM($G15:R18)</f>
        <v>0</v>
      </c>
      <c r="AD24" s="136">
        <f>SUM($G15:AD18)</f>
        <v>0</v>
      </c>
      <c r="AP24" s="136">
        <f>SUM($G15:AP18)</f>
        <v>0</v>
      </c>
    </row>
    <row r="25" spans="1:42">
      <c r="A25" s="90" t="s">
        <v>228</v>
      </c>
      <c r="B25"/>
      <c r="I25" t="s">
        <v>46</v>
      </c>
      <c r="R25" s="136">
        <f>SUM($G21:R21)</f>
        <v>0</v>
      </c>
      <c r="AD25" s="136">
        <f>SUM($G21:AD21)</f>
        <v>0</v>
      </c>
      <c r="AP25" s="136">
        <f>SUM($G21:AP21)</f>
        <v>0</v>
      </c>
    </row>
    <row r="26" spans="1:42">
      <c r="A26" s="90" t="s">
        <v>335</v>
      </c>
      <c r="J26" t="s">
        <v>46</v>
      </c>
      <c r="R26" s="136">
        <f>+R23-R24-R25</f>
        <v>0</v>
      </c>
      <c r="AD26" s="136">
        <f>+AD23-AD24-AD25</f>
        <v>0</v>
      </c>
      <c r="AP26" s="136">
        <f>+AP23-AP24-AP25</f>
        <v>0</v>
      </c>
    </row>
    <row r="27" spans="1:42">
      <c r="M27" t="s">
        <v>46</v>
      </c>
    </row>
    <row r="28" spans="1:42" ht="18.75">
      <c r="A28" s="18" t="s">
        <v>533</v>
      </c>
      <c r="M28" t="s">
        <v>46</v>
      </c>
    </row>
    <row r="29" spans="1:42">
      <c r="B29">
        <f>IF(Cuestionario!I5="Empresario Individual",0,1)</f>
        <v>1</v>
      </c>
      <c r="I29" t="s">
        <v>46</v>
      </c>
      <c r="K29" t="s">
        <v>46</v>
      </c>
      <c r="M29" t="s">
        <v>46</v>
      </c>
      <c r="N29" t="s">
        <v>46</v>
      </c>
      <c r="T29" t="s">
        <v>46</v>
      </c>
    </row>
    <row r="30" spans="1:42">
      <c r="B30" s="171" t="s">
        <v>534</v>
      </c>
      <c r="C30" s="171"/>
      <c r="D30" s="171"/>
      <c r="E30" s="171"/>
      <c r="F30" s="171"/>
      <c r="G30" s="171" t="s">
        <v>535</v>
      </c>
      <c r="H30" s="171" t="s">
        <v>536</v>
      </c>
      <c r="I30" t="s">
        <v>46</v>
      </c>
      <c r="J30" s="539"/>
    </row>
    <row r="31" spans="1:42">
      <c r="A31" s="90" t="s">
        <v>121</v>
      </c>
      <c r="B31" s="540">
        <f ca="1">Cuestionario!H67</f>
        <v>0.25</v>
      </c>
      <c r="G31" s="136">
        <f ca="1">+Resultados!C21</f>
        <v>0</v>
      </c>
      <c r="H31" s="136">
        <f ca="1">+G31*B31*$B$29</f>
        <v>0</v>
      </c>
      <c r="K31" s="172"/>
      <c r="M31" t="s">
        <v>46</v>
      </c>
    </row>
    <row r="32" spans="1:42">
      <c r="A32" s="90" t="s">
        <v>122</v>
      </c>
      <c r="B32" s="540">
        <f ca="1">Cuestionario!I67</f>
        <v>0.25</v>
      </c>
      <c r="G32" s="136">
        <f ca="1">IF($G$31&lt;0,Resultados!$C$21+Resultados!$E$21,Resultados!$E$21)</f>
        <v>0</v>
      </c>
      <c r="H32" s="136">
        <f ca="1">(+G32*B32)*$B$29</f>
        <v>0</v>
      </c>
      <c r="K32" s="172"/>
    </row>
    <row r="33" spans="1:45">
      <c r="A33" s="90" t="s">
        <v>123</v>
      </c>
      <c r="B33" s="540">
        <f ca="1">Cuestionario!J67</f>
        <v>0.25</v>
      </c>
      <c r="G33" s="136">
        <f ca="1">IF($G$31+G32&lt;0,Resultados!$C$21+Resultados!$E$21+Resultados!G21,Resultados!$G$21)</f>
        <v>0</v>
      </c>
      <c r="H33" s="136">
        <f ca="1">(G33*B33)*$B$29</f>
        <v>0</v>
      </c>
      <c r="K33" s="172"/>
    </row>
    <row r="34" spans="1:45">
      <c r="A34" s="90" t="s">
        <v>537</v>
      </c>
      <c r="G34" s="541">
        <f ca="1">$H$31/12</f>
        <v>0</v>
      </c>
      <c r="H34" s="541">
        <f t="shared" ref="H34:R34" ca="1" si="39">$H$31/12</f>
        <v>0</v>
      </c>
      <c r="I34" s="541">
        <f t="shared" ca="1" si="39"/>
        <v>0</v>
      </c>
      <c r="J34" s="541">
        <f t="shared" ca="1" si="39"/>
        <v>0</v>
      </c>
      <c r="K34" s="541">
        <f t="shared" ca="1" si="39"/>
        <v>0</v>
      </c>
      <c r="L34" s="541">
        <f t="shared" ca="1" si="39"/>
        <v>0</v>
      </c>
      <c r="M34" s="541">
        <f t="shared" ca="1" si="39"/>
        <v>0</v>
      </c>
      <c r="N34" s="541">
        <f t="shared" ca="1" si="39"/>
        <v>0</v>
      </c>
      <c r="O34" s="541">
        <f t="shared" ca="1" si="39"/>
        <v>0</v>
      </c>
      <c r="P34" s="541">
        <f t="shared" ca="1" si="39"/>
        <v>0</v>
      </c>
      <c r="Q34" s="541">
        <f t="shared" ca="1" si="39"/>
        <v>0</v>
      </c>
      <c r="R34" s="541">
        <f t="shared" ca="1" si="39"/>
        <v>0</v>
      </c>
      <c r="S34" s="541">
        <f ca="1">$H$32/12</f>
        <v>0</v>
      </c>
      <c r="T34" s="541">
        <f t="shared" ref="T34:AD34" ca="1" si="40">$H$32/12</f>
        <v>0</v>
      </c>
      <c r="U34" s="541">
        <f t="shared" ca="1" si="40"/>
        <v>0</v>
      </c>
      <c r="V34" s="541">
        <f t="shared" ca="1" si="40"/>
        <v>0</v>
      </c>
      <c r="W34" s="541">
        <f t="shared" ca="1" si="40"/>
        <v>0</v>
      </c>
      <c r="X34" s="541">
        <f t="shared" ca="1" si="40"/>
        <v>0</v>
      </c>
      <c r="Y34" s="541">
        <f t="shared" ca="1" si="40"/>
        <v>0</v>
      </c>
      <c r="Z34" s="541">
        <f t="shared" ca="1" si="40"/>
        <v>0</v>
      </c>
      <c r="AA34" s="541">
        <f t="shared" ca="1" si="40"/>
        <v>0</v>
      </c>
      <c r="AB34" s="541">
        <f t="shared" ca="1" si="40"/>
        <v>0</v>
      </c>
      <c r="AC34" s="541">
        <f t="shared" ca="1" si="40"/>
        <v>0</v>
      </c>
      <c r="AD34" s="541">
        <f t="shared" ca="1" si="40"/>
        <v>0</v>
      </c>
      <c r="AE34" s="541">
        <f ca="1">$H$33/12</f>
        <v>0</v>
      </c>
      <c r="AF34" s="541">
        <f t="shared" ref="AF34:AP34" ca="1" si="41">$H$33/12</f>
        <v>0</v>
      </c>
      <c r="AG34" s="541">
        <f t="shared" ca="1" si="41"/>
        <v>0</v>
      </c>
      <c r="AH34" s="541">
        <f t="shared" ca="1" si="41"/>
        <v>0</v>
      </c>
      <c r="AI34" s="541">
        <f t="shared" ca="1" si="41"/>
        <v>0</v>
      </c>
      <c r="AJ34" s="541">
        <f t="shared" ca="1" si="41"/>
        <v>0</v>
      </c>
      <c r="AK34" s="541">
        <f t="shared" ca="1" si="41"/>
        <v>0</v>
      </c>
      <c r="AL34" s="541">
        <f t="shared" ca="1" si="41"/>
        <v>0</v>
      </c>
      <c r="AM34" s="541">
        <f t="shared" ca="1" si="41"/>
        <v>0</v>
      </c>
      <c r="AN34" s="541">
        <f t="shared" ca="1" si="41"/>
        <v>0</v>
      </c>
      <c r="AO34" s="541">
        <f t="shared" ca="1" si="41"/>
        <v>0</v>
      </c>
      <c r="AP34" s="541">
        <f t="shared" ca="1" si="41"/>
        <v>0</v>
      </c>
    </row>
    <row r="35" spans="1:45">
      <c r="A35" t="s">
        <v>538</v>
      </c>
      <c r="G35" s="541"/>
      <c r="H35" s="541"/>
      <c r="I35" s="541"/>
      <c r="J35" s="541"/>
      <c r="K35" s="541"/>
      <c r="L35" s="541"/>
      <c r="M35" s="541"/>
      <c r="N35" s="541"/>
      <c r="O35" s="541"/>
      <c r="P35" s="541"/>
      <c r="Q35" s="541"/>
      <c r="R35" s="136">
        <f ca="1">IF(SUM(G34:R34)&gt;0,SUM(G34:R34),0)</f>
        <v>0</v>
      </c>
      <c r="S35" s="541"/>
      <c r="T35" s="541"/>
      <c r="U35" s="541"/>
      <c r="V35" s="541"/>
      <c r="W35" s="541"/>
      <c r="X35" s="541"/>
      <c r="Y35" s="541"/>
      <c r="Z35" s="541"/>
      <c r="AA35" s="541"/>
      <c r="AB35" s="541"/>
      <c r="AC35" s="541"/>
      <c r="AD35" s="136">
        <f ca="1">IF(SUM(S34:AD34)&gt;0,SUM(S34:AD34),0)</f>
        <v>0</v>
      </c>
      <c r="AE35" s="541"/>
      <c r="AF35" s="541"/>
      <c r="AG35" s="541"/>
      <c r="AH35" s="541"/>
      <c r="AI35" s="541"/>
      <c r="AJ35" s="541"/>
      <c r="AK35" s="541"/>
      <c r="AL35" s="541"/>
      <c r="AM35" s="541"/>
      <c r="AN35" s="541"/>
      <c r="AO35" s="541"/>
      <c r="AP35" s="136">
        <f ca="1">IF(SUM(AE34:AP34)&gt;0,SUM(AE34:AP34),0)</f>
        <v>0</v>
      </c>
    </row>
    <row r="36" spans="1:45" ht="18.75" customHeight="1">
      <c r="A36" s="90" t="s">
        <v>539</v>
      </c>
      <c r="G36" s="541"/>
      <c r="H36" s="541"/>
      <c r="I36" s="541"/>
      <c r="J36" s="541"/>
      <c r="K36" s="541"/>
      <c r="L36" s="541"/>
      <c r="M36" s="541"/>
      <c r="N36" s="541"/>
      <c r="O36" s="541"/>
      <c r="P36" s="541"/>
      <c r="Q36" s="541"/>
      <c r="R36" s="541"/>
      <c r="S36" s="541"/>
      <c r="T36" s="541"/>
      <c r="U36" s="541"/>
      <c r="V36" s="541"/>
      <c r="W36" s="541"/>
      <c r="X36" s="541"/>
      <c r="Y36" s="541">
        <f ca="1">SUM(G34:R34)</f>
        <v>0</v>
      </c>
      <c r="Z36" s="541"/>
      <c r="AA36" s="541"/>
      <c r="AB36" s="541">
        <f ca="1">IF($R35&gt;0,$R35*0.18,0)</f>
        <v>0</v>
      </c>
      <c r="AC36" s="541"/>
      <c r="AD36" s="541">
        <f ca="1">IF($R35&gt;0,$R35*0.18,0)</f>
        <v>0</v>
      </c>
      <c r="AE36" s="541"/>
      <c r="AF36" s="541"/>
      <c r="AG36" s="541"/>
      <c r="AH36" s="541">
        <f ca="1">IF($R35&gt;0,$R35*0.18,0)</f>
        <v>0</v>
      </c>
      <c r="AI36" s="541"/>
      <c r="AJ36" s="541"/>
      <c r="AK36" s="541">
        <f ca="1">SUM(S34:AD34)-SUM(AB36:AH36)</f>
        <v>0</v>
      </c>
      <c r="AL36" s="541"/>
      <c r="AM36" s="541"/>
      <c r="AN36" s="541">
        <f ca="1">IF($AD35&gt;0,$AD35*0.18,0)</f>
        <v>0</v>
      </c>
      <c r="AO36" s="541"/>
      <c r="AP36" s="541">
        <f ca="1">IF($AD35&gt;0,$AD35*0.18,0)</f>
        <v>0</v>
      </c>
    </row>
    <row r="37" spans="1:45">
      <c r="G37" s="541"/>
      <c r="H37" s="541"/>
      <c r="I37" s="541"/>
      <c r="J37" s="541"/>
      <c r="K37" s="541"/>
      <c r="L37" s="541"/>
      <c r="M37" s="541"/>
      <c r="N37" s="541"/>
      <c r="O37" s="541"/>
      <c r="P37" s="541"/>
      <c r="Q37" s="541"/>
      <c r="R37" s="136"/>
      <c r="S37" s="541"/>
      <c r="T37" s="541"/>
      <c r="U37" s="541"/>
      <c r="V37" s="541"/>
      <c r="W37" s="541"/>
      <c r="X37" s="541"/>
      <c r="Y37" s="541"/>
      <c r="Z37" s="541"/>
      <c r="AA37" s="541"/>
      <c r="AB37" s="541"/>
      <c r="AC37" s="541"/>
      <c r="AD37" s="541"/>
      <c r="AE37" s="541"/>
      <c r="AF37" s="541"/>
      <c r="AG37" s="541"/>
      <c r="AH37" s="541"/>
      <c r="AI37" s="541"/>
      <c r="AJ37" s="541"/>
      <c r="AK37" s="541"/>
      <c r="AL37" s="541"/>
      <c r="AM37" s="541"/>
      <c r="AN37" s="541"/>
      <c r="AO37" s="541"/>
      <c r="AP37" s="541"/>
    </row>
    <row r="38" spans="1:45" s="81" customFormat="1" ht="18.75" customHeight="1">
      <c r="A38" s="1259" t="s">
        <v>1273</v>
      </c>
      <c r="B38" s="1259"/>
      <c r="C38" s="1259"/>
      <c r="D38" s="1259"/>
      <c r="E38" s="1259"/>
      <c r="F38" s="1259"/>
      <c r="G38" s="1259"/>
      <c r="H38" s="1259"/>
      <c r="I38"/>
      <c r="J38" t="s">
        <v>46</v>
      </c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</row>
    <row r="39" spans="1:45" s="81" customFormat="1" ht="31.5">
      <c r="A39"/>
      <c r="B39" s="541">
        <f>IF(AND(Cuestionario!$C$67="Estimación directa",Cuestionario!$I$5="Empresario Individual"),1,0)</f>
        <v>0</v>
      </c>
      <c r="C39"/>
      <c r="D39"/>
      <c r="E39"/>
      <c r="F39"/>
      <c r="G39" s="17" t="str">
        <f t="shared" ref="G39:AP39" si="42">+G3</f>
        <v>Enero</v>
      </c>
      <c r="H39" s="17" t="str">
        <f t="shared" si="42"/>
        <v>Febrero</v>
      </c>
      <c r="I39" s="17" t="str">
        <f t="shared" si="42"/>
        <v>Marzo</v>
      </c>
      <c r="J39" s="17" t="str">
        <f t="shared" si="42"/>
        <v>Abril</v>
      </c>
      <c r="K39" s="17" t="str">
        <f t="shared" si="42"/>
        <v>Mayo</v>
      </c>
      <c r="L39" s="17" t="str">
        <f t="shared" si="42"/>
        <v>Junio</v>
      </c>
      <c r="M39" s="17" t="str">
        <f t="shared" si="42"/>
        <v>Julio</v>
      </c>
      <c r="N39" s="17" t="str">
        <f t="shared" si="42"/>
        <v>Agosto</v>
      </c>
      <c r="O39" s="17" t="str">
        <f t="shared" si="42"/>
        <v>Septiembre</v>
      </c>
      <c r="P39" s="17" t="str">
        <f t="shared" si="42"/>
        <v>Octubre</v>
      </c>
      <c r="Q39" s="17" t="str">
        <f t="shared" si="42"/>
        <v>Noviembre</v>
      </c>
      <c r="R39" s="164" t="str">
        <f t="shared" si="42"/>
        <v>Diciembre</v>
      </c>
      <c r="S39" s="165" t="str">
        <f t="shared" si="42"/>
        <v>Enero</v>
      </c>
      <c r="T39" s="166" t="str">
        <f t="shared" si="42"/>
        <v>Febrero</v>
      </c>
      <c r="U39" s="166" t="str">
        <f t="shared" si="42"/>
        <v>Marzo</v>
      </c>
      <c r="V39" s="166" t="str">
        <f t="shared" si="42"/>
        <v>Abril</v>
      </c>
      <c r="W39" s="166" t="str">
        <f t="shared" si="42"/>
        <v>Mayo</v>
      </c>
      <c r="X39" s="166" t="str">
        <f t="shared" si="42"/>
        <v>Junio</v>
      </c>
      <c r="Y39" s="166" t="str">
        <f t="shared" si="42"/>
        <v>Julio</v>
      </c>
      <c r="Z39" s="166" t="str">
        <f t="shared" si="42"/>
        <v>Agosto</v>
      </c>
      <c r="AA39" s="166" t="str">
        <f t="shared" si="42"/>
        <v>Septiembre</v>
      </c>
      <c r="AB39" s="166" t="str">
        <f t="shared" si="42"/>
        <v>Octubre</v>
      </c>
      <c r="AC39" s="166" t="str">
        <f t="shared" si="42"/>
        <v>Noviembre</v>
      </c>
      <c r="AD39" s="167" t="str">
        <f t="shared" si="42"/>
        <v>Diciembre</v>
      </c>
      <c r="AE39" s="17" t="str">
        <f t="shared" si="42"/>
        <v>Enero</v>
      </c>
      <c r="AF39" s="17" t="str">
        <f t="shared" si="42"/>
        <v>Febrero</v>
      </c>
      <c r="AG39" s="17" t="str">
        <f t="shared" si="42"/>
        <v>Marzo</v>
      </c>
      <c r="AH39" s="17" t="str">
        <f t="shared" si="42"/>
        <v>Abril</v>
      </c>
      <c r="AI39" s="17" t="str">
        <f t="shared" si="42"/>
        <v>Mayo</v>
      </c>
      <c r="AJ39" s="17" t="str">
        <f t="shared" si="42"/>
        <v>Junio</v>
      </c>
      <c r="AK39" s="17" t="str">
        <f t="shared" si="42"/>
        <v>Julio</v>
      </c>
      <c r="AL39" s="17" t="str">
        <f t="shared" si="42"/>
        <v>Agosto</v>
      </c>
      <c r="AM39" s="17" t="str">
        <f t="shared" si="42"/>
        <v>Septiembre</v>
      </c>
      <c r="AN39" s="17" t="str">
        <f t="shared" si="42"/>
        <v>Octubre</v>
      </c>
      <c r="AO39" s="17" t="str">
        <f t="shared" si="42"/>
        <v>Noviembre</v>
      </c>
      <c r="AP39" s="164" t="str">
        <f t="shared" si="42"/>
        <v>Diciembre</v>
      </c>
      <c r="AQ39"/>
      <c r="AR39"/>
      <c r="AS39"/>
    </row>
    <row r="40" spans="1:45">
      <c r="A40" t="s">
        <v>540</v>
      </c>
      <c r="G40" s="136">
        <f>'Personal retribución'!J39</f>
        <v>0</v>
      </c>
      <c r="H40" s="136">
        <f>'Personal retribución'!K39</f>
        <v>0</v>
      </c>
      <c r="I40" s="136">
        <f>'Personal retribución'!L39</f>
        <v>0</v>
      </c>
      <c r="J40" s="136">
        <f>'Personal retribución'!M39</f>
        <v>0</v>
      </c>
      <c r="K40" s="136">
        <f>'Personal retribución'!N39</f>
        <v>0</v>
      </c>
      <c r="L40" s="136">
        <f>'Personal retribución'!O39</f>
        <v>0</v>
      </c>
      <c r="M40" s="136">
        <f>'Personal retribución'!P39</f>
        <v>0</v>
      </c>
      <c r="N40" s="136">
        <f>'Personal retribución'!Q39</f>
        <v>0</v>
      </c>
      <c r="O40" s="136">
        <f>'Personal retribución'!R39</f>
        <v>0</v>
      </c>
      <c r="P40" s="136">
        <f>'Personal retribución'!S39</f>
        <v>0</v>
      </c>
      <c r="Q40" s="136">
        <f>'Personal retribución'!T39</f>
        <v>0</v>
      </c>
      <c r="R40" s="136">
        <f>'Personal retribución'!U39</f>
        <v>0</v>
      </c>
      <c r="S40" s="136">
        <f>'Personal retribución'!V39</f>
        <v>0</v>
      </c>
      <c r="T40" s="136">
        <f>'Personal retribución'!W39</f>
        <v>0</v>
      </c>
      <c r="U40" s="136">
        <f>'Personal retribución'!X39</f>
        <v>0</v>
      </c>
      <c r="V40" s="136">
        <f>'Personal retribución'!Y39</f>
        <v>0</v>
      </c>
      <c r="W40" s="136">
        <f>'Personal retribución'!Z39</f>
        <v>0</v>
      </c>
      <c r="X40" s="136">
        <f>'Personal retribución'!AA39</f>
        <v>0</v>
      </c>
      <c r="Y40" s="136">
        <f>'Personal retribución'!AB39</f>
        <v>0</v>
      </c>
      <c r="Z40" s="136">
        <f>'Personal retribución'!AC39</f>
        <v>0</v>
      </c>
      <c r="AA40" s="136">
        <f>'Personal retribución'!AD39</f>
        <v>0</v>
      </c>
      <c r="AB40" s="136">
        <f>'Personal retribución'!AE39</f>
        <v>0</v>
      </c>
      <c r="AC40" s="136">
        <f>'Personal retribución'!AF39</f>
        <v>0</v>
      </c>
      <c r="AD40" s="136">
        <f>'Personal retribución'!AG39</f>
        <v>0</v>
      </c>
      <c r="AE40" s="136">
        <f>'Personal retribución'!AH39</f>
        <v>0</v>
      </c>
      <c r="AF40" s="136">
        <f>'Personal retribución'!AI39</f>
        <v>0</v>
      </c>
      <c r="AG40" s="136">
        <f>'Personal retribución'!AJ39</f>
        <v>0</v>
      </c>
      <c r="AH40" s="136">
        <f>'Personal retribución'!AK39</f>
        <v>0</v>
      </c>
      <c r="AI40" s="136">
        <f>'Personal retribución'!AL39</f>
        <v>0</v>
      </c>
      <c r="AJ40" s="136">
        <f>'Personal retribución'!AM39</f>
        <v>0</v>
      </c>
      <c r="AK40" s="136">
        <f>'Personal retribución'!AN39</f>
        <v>0</v>
      </c>
      <c r="AL40" s="136">
        <f>'Personal retribución'!AO39</f>
        <v>0</v>
      </c>
      <c r="AM40" s="136">
        <f>'Personal retribución'!AP39</f>
        <v>0</v>
      </c>
      <c r="AN40" s="136">
        <f>'Personal retribución'!AQ39</f>
        <v>0</v>
      </c>
      <c r="AO40" s="136">
        <f>'Personal retribución'!AR39</f>
        <v>0</v>
      </c>
      <c r="AP40" s="136">
        <f>'Personal retribución'!AS39</f>
        <v>0</v>
      </c>
      <c r="AQ40" s="81"/>
      <c r="AR40" s="81"/>
      <c r="AS40" s="81"/>
    </row>
    <row r="41" spans="1:45">
      <c r="A41" t="s">
        <v>541</v>
      </c>
      <c r="G41" s="136">
        <f ca="1">+'Resultados mensuales '!C39</f>
        <v>0</v>
      </c>
      <c r="H41" s="136">
        <f ca="1">+'Resultados mensuales '!D39</f>
        <v>0</v>
      </c>
      <c r="I41" s="136">
        <f ca="1">+'Resultados mensuales '!E39</f>
        <v>0</v>
      </c>
      <c r="J41" s="136">
        <f ca="1">+'Resultados mensuales '!F39</f>
        <v>0</v>
      </c>
      <c r="K41" s="136">
        <f ca="1">+'Resultados mensuales '!G39</f>
        <v>0</v>
      </c>
      <c r="L41" s="136">
        <f ca="1">+'Resultados mensuales '!H39</f>
        <v>0</v>
      </c>
      <c r="M41" s="136">
        <f ca="1">+'Resultados mensuales '!I39</f>
        <v>0</v>
      </c>
      <c r="N41" s="136">
        <f ca="1">+'Resultados mensuales '!J39</f>
        <v>0</v>
      </c>
      <c r="O41" s="136">
        <f ca="1">+'Resultados mensuales '!K39</f>
        <v>0</v>
      </c>
      <c r="P41" s="136">
        <f ca="1">+'Resultados mensuales '!L39</f>
        <v>0</v>
      </c>
      <c r="Q41" s="136">
        <f ca="1">+'Resultados mensuales '!M39</f>
        <v>0</v>
      </c>
      <c r="R41" s="136">
        <f ca="1">+'Resultados mensuales '!N39</f>
        <v>0</v>
      </c>
      <c r="S41" s="136">
        <f ca="1">+'Resultados mensuales '!O39</f>
        <v>0</v>
      </c>
      <c r="T41" s="136">
        <f ca="1">+'Resultados mensuales '!P39</f>
        <v>0</v>
      </c>
      <c r="U41" s="136">
        <f ca="1">+'Resultados mensuales '!Q39</f>
        <v>0</v>
      </c>
      <c r="V41" s="136">
        <f ca="1">+'Resultados mensuales '!R39</f>
        <v>0</v>
      </c>
      <c r="W41" s="136">
        <f ca="1">+'Resultados mensuales '!S39</f>
        <v>0</v>
      </c>
      <c r="X41" s="136">
        <f ca="1">+'Resultados mensuales '!T39</f>
        <v>0</v>
      </c>
      <c r="Y41" s="136">
        <f ca="1">+'Resultados mensuales '!U39</f>
        <v>0</v>
      </c>
      <c r="Z41" s="136">
        <f ca="1">+'Resultados mensuales '!V39</f>
        <v>0</v>
      </c>
      <c r="AA41" s="136">
        <f ca="1">+'Resultados mensuales '!W39</f>
        <v>0</v>
      </c>
      <c r="AB41" s="136">
        <f ca="1">+'Resultados mensuales '!X39</f>
        <v>0</v>
      </c>
      <c r="AC41" s="136">
        <f ca="1">+'Resultados mensuales '!Y39</f>
        <v>0</v>
      </c>
      <c r="AD41" s="136">
        <f ca="1">+'Resultados mensuales '!Z39</f>
        <v>0</v>
      </c>
      <c r="AE41" s="136">
        <f ca="1">+'Resultados mensuales '!AA39</f>
        <v>0</v>
      </c>
      <c r="AF41" s="136">
        <f ca="1">+'Resultados mensuales '!AB39</f>
        <v>0</v>
      </c>
      <c r="AG41" s="136">
        <f ca="1">+'Resultados mensuales '!AC39</f>
        <v>0</v>
      </c>
      <c r="AH41" s="136">
        <f ca="1">+'Resultados mensuales '!AD39</f>
        <v>0</v>
      </c>
      <c r="AI41" s="136">
        <f ca="1">+'Resultados mensuales '!AE39</f>
        <v>0</v>
      </c>
      <c r="AJ41" s="136">
        <f ca="1">+'Resultados mensuales '!AF39</f>
        <v>0</v>
      </c>
      <c r="AK41" s="136">
        <f ca="1">+'Resultados mensuales '!AG39</f>
        <v>0</v>
      </c>
      <c r="AL41" s="136">
        <f ca="1">+'Resultados mensuales '!AH39</f>
        <v>0</v>
      </c>
      <c r="AM41" s="136">
        <f ca="1">+'Resultados mensuales '!AI39</f>
        <v>0</v>
      </c>
      <c r="AN41" s="136">
        <f ca="1">+'Resultados mensuales '!AJ39</f>
        <v>0</v>
      </c>
      <c r="AO41" s="136">
        <f ca="1">+'Resultados mensuales '!AK39</f>
        <v>0</v>
      </c>
      <c r="AP41" s="136">
        <f ca="1">+'Resultados mensuales '!AL39</f>
        <v>0</v>
      </c>
      <c r="AQ41" s="81"/>
      <c r="AR41" s="81"/>
      <c r="AS41" s="81"/>
    </row>
    <row r="42" spans="1:45">
      <c r="A42" s="90" t="s">
        <v>141</v>
      </c>
      <c r="B42" s="81">
        <f>+Cuestionario!C66</f>
        <v>0.2</v>
      </c>
      <c r="G42" s="136">
        <f ca="1">(+F40+G41*$B$39)*$B$42*$B$39</f>
        <v>0</v>
      </c>
      <c r="H42" s="136">
        <f t="shared" ref="H42:AP42" ca="1" si="43">(+G40+H41*$B$39)*$B$42*$B$39</f>
        <v>0</v>
      </c>
      <c r="I42" s="136">
        <f t="shared" ca="1" si="43"/>
        <v>0</v>
      </c>
      <c r="J42" s="136">
        <f t="shared" ca="1" si="43"/>
        <v>0</v>
      </c>
      <c r="K42" s="136">
        <f t="shared" ca="1" si="43"/>
        <v>0</v>
      </c>
      <c r="L42" s="136">
        <f t="shared" ca="1" si="43"/>
        <v>0</v>
      </c>
      <c r="M42" s="136">
        <f t="shared" ca="1" si="43"/>
        <v>0</v>
      </c>
      <c r="N42" s="136">
        <f t="shared" ca="1" si="43"/>
        <v>0</v>
      </c>
      <c r="O42" s="136">
        <f t="shared" ca="1" si="43"/>
        <v>0</v>
      </c>
      <c r="P42" s="136">
        <f t="shared" ca="1" si="43"/>
        <v>0</v>
      </c>
      <c r="Q42" s="136">
        <f t="shared" ca="1" si="43"/>
        <v>0</v>
      </c>
      <c r="R42" s="136">
        <f t="shared" ca="1" si="43"/>
        <v>0</v>
      </c>
      <c r="S42" s="136">
        <f t="shared" ca="1" si="43"/>
        <v>0</v>
      </c>
      <c r="T42" s="136">
        <f t="shared" ca="1" si="43"/>
        <v>0</v>
      </c>
      <c r="U42" s="136">
        <f t="shared" ca="1" si="43"/>
        <v>0</v>
      </c>
      <c r="V42" s="136">
        <f t="shared" ca="1" si="43"/>
        <v>0</v>
      </c>
      <c r="W42" s="136">
        <f t="shared" ca="1" si="43"/>
        <v>0</v>
      </c>
      <c r="X42" s="136">
        <f t="shared" ca="1" si="43"/>
        <v>0</v>
      </c>
      <c r="Y42" s="136">
        <f t="shared" ca="1" si="43"/>
        <v>0</v>
      </c>
      <c r="Z42" s="136">
        <f t="shared" ca="1" si="43"/>
        <v>0</v>
      </c>
      <c r="AA42" s="136">
        <f t="shared" ca="1" si="43"/>
        <v>0</v>
      </c>
      <c r="AB42" s="136">
        <f t="shared" ca="1" si="43"/>
        <v>0</v>
      </c>
      <c r="AC42" s="136">
        <f t="shared" ca="1" si="43"/>
        <v>0</v>
      </c>
      <c r="AD42" s="136">
        <f t="shared" ca="1" si="43"/>
        <v>0</v>
      </c>
      <c r="AE42" s="136">
        <f t="shared" ca="1" si="43"/>
        <v>0</v>
      </c>
      <c r="AF42" s="136">
        <f t="shared" ca="1" si="43"/>
        <v>0</v>
      </c>
      <c r="AG42" s="136">
        <f t="shared" ca="1" si="43"/>
        <v>0</v>
      </c>
      <c r="AH42" s="136">
        <f t="shared" ca="1" si="43"/>
        <v>0</v>
      </c>
      <c r="AI42" s="136">
        <f t="shared" ca="1" si="43"/>
        <v>0</v>
      </c>
      <c r="AJ42" s="136">
        <f t="shared" ca="1" si="43"/>
        <v>0</v>
      </c>
      <c r="AK42" s="136">
        <f t="shared" ca="1" si="43"/>
        <v>0</v>
      </c>
      <c r="AL42" s="136">
        <f t="shared" ca="1" si="43"/>
        <v>0</v>
      </c>
      <c r="AM42" s="136">
        <f t="shared" ca="1" si="43"/>
        <v>0</v>
      </c>
      <c r="AN42" s="136">
        <f t="shared" ca="1" si="43"/>
        <v>0</v>
      </c>
      <c r="AO42" s="136">
        <f t="shared" ca="1" si="43"/>
        <v>0</v>
      </c>
      <c r="AP42" s="136">
        <f t="shared" ca="1" si="43"/>
        <v>0</v>
      </c>
    </row>
    <row r="43" spans="1:45">
      <c r="B43" s="92"/>
      <c r="C43" s="92">
        <f>IF(OR(C$3="Enero",C$3="Abril",C$3="Julio",C$3="Octubre"),SUM(#REF!),0)</f>
        <v>0</v>
      </c>
      <c r="D43" s="92">
        <f>IF(OR(D$3="Enero",D$3="Abril",D$3="Julio",D$3="Octubre"),SUM(A41:C41),0)</f>
        <v>0</v>
      </c>
      <c r="E43" s="92">
        <f>IF(OR(E$3="Enero",E$3="Abril",E$3="Julio",E$3="Octubre"),SUM(B41:D41),0)</f>
        <v>0</v>
      </c>
      <c r="F43" s="92">
        <f>IF(OR(F$3="Enero",F$3="Abril",F$3="Julio",F$3="Octubre"),SUM(C41:E41),0)</f>
        <v>0</v>
      </c>
      <c r="G43" s="92">
        <f t="shared" ref="G43:AP43" si="44">IF(OR(G$3="Enero",G$3="Abril",G$3="Julio",G$3="Octubre"),SUM(D42:F42),0)*$B$39</f>
        <v>0</v>
      </c>
      <c r="H43" s="92">
        <f t="shared" si="44"/>
        <v>0</v>
      </c>
      <c r="I43" s="92">
        <f t="shared" si="44"/>
        <v>0</v>
      </c>
      <c r="J43" s="92">
        <f t="shared" ca="1" si="44"/>
        <v>0</v>
      </c>
      <c r="K43" s="92">
        <f t="shared" si="44"/>
        <v>0</v>
      </c>
      <c r="L43" s="92">
        <f t="shared" si="44"/>
        <v>0</v>
      </c>
      <c r="M43" s="92">
        <f t="shared" ca="1" si="44"/>
        <v>0</v>
      </c>
      <c r="N43" s="92">
        <f t="shared" si="44"/>
        <v>0</v>
      </c>
      <c r="O43" s="92">
        <f t="shared" si="44"/>
        <v>0</v>
      </c>
      <c r="P43" s="92">
        <f t="shared" ca="1" si="44"/>
        <v>0</v>
      </c>
      <c r="Q43" s="92">
        <f t="shared" si="44"/>
        <v>0</v>
      </c>
      <c r="R43" s="92">
        <f t="shared" si="44"/>
        <v>0</v>
      </c>
      <c r="S43" s="92">
        <f t="shared" ca="1" si="44"/>
        <v>0</v>
      </c>
      <c r="T43" s="92">
        <f t="shared" si="44"/>
        <v>0</v>
      </c>
      <c r="U43" s="92">
        <f t="shared" si="44"/>
        <v>0</v>
      </c>
      <c r="V43" s="92">
        <f t="shared" ca="1" si="44"/>
        <v>0</v>
      </c>
      <c r="W43" s="92">
        <f t="shared" si="44"/>
        <v>0</v>
      </c>
      <c r="X43" s="92">
        <f t="shared" si="44"/>
        <v>0</v>
      </c>
      <c r="Y43" s="92">
        <f t="shared" ca="1" si="44"/>
        <v>0</v>
      </c>
      <c r="Z43" s="92">
        <f t="shared" si="44"/>
        <v>0</v>
      </c>
      <c r="AA43" s="92">
        <f t="shared" si="44"/>
        <v>0</v>
      </c>
      <c r="AB43" s="92">
        <f t="shared" ca="1" si="44"/>
        <v>0</v>
      </c>
      <c r="AC43" s="92">
        <f t="shared" si="44"/>
        <v>0</v>
      </c>
      <c r="AD43" s="92">
        <f t="shared" si="44"/>
        <v>0</v>
      </c>
      <c r="AE43" s="92">
        <f t="shared" ca="1" si="44"/>
        <v>0</v>
      </c>
      <c r="AF43" s="92">
        <f t="shared" si="44"/>
        <v>0</v>
      </c>
      <c r="AG43" s="92">
        <f t="shared" si="44"/>
        <v>0</v>
      </c>
      <c r="AH43" s="92">
        <f t="shared" ca="1" si="44"/>
        <v>0</v>
      </c>
      <c r="AI43" s="92">
        <f t="shared" si="44"/>
        <v>0</v>
      </c>
      <c r="AJ43" s="92">
        <f t="shared" si="44"/>
        <v>0</v>
      </c>
      <c r="AK43" s="92">
        <f t="shared" ca="1" si="44"/>
        <v>0</v>
      </c>
      <c r="AL43" s="92">
        <f t="shared" si="44"/>
        <v>0</v>
      </c>
      <c r="AM43" s="92">
        <f t="shared" si="44"/>
        <v>0</v>
      </c>
      <c r="AN43" s="92">
        <f t="shared" ca="1" si="44"/>
        <v>0</v>
      </c>
      <c r="AO43" s="92">
        <f t="shared" si="44"/>
        <v>0</v>
      </c>
      <c r="AP43" s="92">
        <f t="shared" si="44"/>
        <v>0</v>
      </c>
    </row>
    <row r="44" spans="1:45">
      <c r="A44" s="90" t="s">
        <v>542</v>
      </c>
      <c r="B44" s="92"/>
      <c r="G44" s="92">
        <f>IF(G43&lt;=0,0,SUM(F42:$G42)-SUM(F44:$G44))</f>
        <v>0</v>
      </c>
      <c r="H44" s="92">
        <f>IF(H43&lt;=0,0,SUM($G42:G42)-SUM($G44:G44))</f>
        <v>0</v>
      </c>
      <c r="I44" s="92">
        <f>IF(I43&lt;=0,0,SUM($G42:H42)-SUM($G44:H44))</f>
        <v>0</v>
      </c>
      <c r="J44" s="92">
        <f ca="1">IF(J43&lt;=0,0,SUM($G42:I42)-SUM($G44:I44))</f>
        <v>0</v>
      </c>
      <c r="K44" s="92">
        <f>IF(K43&lt;=0,0,SUM($G42:J42)-SUM($G44:J44))</f>
        <v>0</v>
      </c>
      <c r="L44" s="92">
        <f>IF(L43&lt;=0,0,SUM($G42:K42)-SUM($G44:K44))</f>
        <v>0</v>
      </c>
      <c r="M44" s="92">
        <f ca="1">IF(M43&lt;=0,0,SUM($G42:L42)-SUM($G44:L44))</f>
        <v>0</v>
      </c>
      <c r="N44" s="92">
        <f>IF(N43&lt;=0,0,SUM($G42:M42)-SUM($G44:M44))</f>
        <v>0</v>
      </c>
      <c r="O44" s="92">
        <f>IF(O43&lt;=0,0,SUM($G42:N42)-SUM($G44:N44))</f>
        <v>0</v>
      </c>
      <c r="P44" s="92">
        <f ca="1">IF(P43&lt;=0,0,SUM($G42:O42)-SUM($G44:O44))</f>
        <v>0</v>
      </c>
      <c r="Q44" s="92">
        <f>IF(Q43&lt;=0,0,SUM($G42:P42)-SUM($G44:P44))</f>
        <v>0</v>
      </c>
      <c r="R44" s="92">
        <f>IF(R43&lt;=0,0,SUM($G42:Q42)-SUM($G44:Q44))</f>
        <v>0</v>
      </c>
      <c r="S44" s="92">
        <f ca="1">IF(S43&lt;=0,0,SUM($G42:R42)-SUM($G44:R44))</f>
        <v>0</v>
      </c>
      <c r="T44" s="92">
        <f>IF(T43&lt;=0,0,SUM($S42:S42)-SUM($S44:S44))</f>
        <v>0</v>
      </c>
      <c r="U44" s="92">
        <f>IF(U43&lt;=0,0,SUM($S42:T42)-SUM($S44:T44))</f>
        <v>0</v>
      </c>
      <c r="V44" s="92">
        <f ca="1">IF(V43&lt;=0,0,SUM($S42:U42)-SUM($S44:U44))</f>
        <v>0</v>
      </c>
      <c r="W44" s="92">
        <f>IF(W43&lt;=0,0,SUM($S42:V42)-SUM($S44:V44))</f>
        <v>0</v>
      </c>
      <c r="X44" s="92">
        <f>IF(X43&lt;=0,0,SUM($S42:W42)-SUM($S44:W44))</f>
        <v>0</v>
      </c>
      <c r="Y44" s="92">
        <f ca="1">IF(Y43&lt;=0,0,SUM($S42:X42)-SUM($S44:X44))</f>
        <v>0</v>
      </c>
      <c r="Z44" s="92">
        <f>IF(Z43&lt;=0,0,SUM($S42:Y42)-SUM($S44:Y44))</f>
        <v>0</v>
      </c>
      <c r="AA44" s="92">
        <f>IF(AA43&lt;=0,0,SUM($S42:Z42)-SUM($S44:Z44))</f>
        <v>0</v>
      </c>
      <c r="AB44" s="92">
        <f ca="1">IF(AB43&lt;=0,0,SUM($S42:AA42)-SUM($S44:AA44))</f>
        <v>0</v>
      </c>
      <c r="AC44" s="92">
        <f>IF(AC43&lt;=0,0,SUM($S42:AB42)-SUM($S44:AB44))</f>
        <v>0</v>
      </c>
      <c r="AD44" s="92">
        <f>IF(AD43&lt;=0,0,SUM($S42:AC42)-SUM($S44:AC44))</f>
        <v>0</v>
      </c>
      <c r="AE44" s="92">
        <f ca="1">IF(AE43&lt;=0,0,SUM($S42:AD42)-SUM($S44:AD44))</f>
        <v>0</v>
      </c>
      <c r="AF44" s="92">
        <f>IF(AF43&lt;=0,0,SUM($AE42:AE42)-SUM($AE44:AE44))</f>
        <v>0</v>
      </c>
      <c r="AG44" s="92">
        <f>IF(AG43&lt;=0,0,SUM($AE42:AF42)-SUM($AE44:AF44))</f>
        <v>0</v>
      </c>
      <c r="AH44" s="92">
        <f ca="1">IF(AH43&lt;=0,0,SUM($AE42:AG42)-SUM($AE44:AG44))</f>
        <v>0</v>
      </c>
      <c r="AI44" s="92">
        <f>IF(AI43&lt;=0,0,SUM($AE42:AH42)-SUM($AE44:AH44))</f>
        <v>0</v>
      </c>
      <c r="AJ44" s="92">
        <f>IF(AJ43&lt;=0,0,SUM($AE42:AI42)-SUM($AE44:AI44))</f>
        <v>0</v>
      </c>
      <c r="AK44" s="92">
        <f ca="1">IF(AK43&lt;=0,0,SUM($AE42:AJ42)-SUM($AE44:AJ44))</f>
        <v>0</v>
      </c>
      <c r="AL44" s="92">
        <f>IF(AL43&lt;=0,0,SUM($AE42:AK42)-SUM($AE44:AK44))</f>
        <v>0</v>
      </c>
      <c r="AM44" s="92">
        <f>IF(AM43&lt;=0,0,SUM($AE42:AL42)-SUM($AE44:AL44))</f>
        <v>0</v>
      </c>
      <c r="AN44" s="92">
        <f ca="1">IF(AN43&lt;=0,0,SUM($AE42:AM42)-SUM($AE44:AM44))</f>
        <v>0</v>
      </c>
      <c r="AO44" s="92">
        <f>IF(AO43&lt;=0,0,SUM($AE42:AN42)-SUM($AE44:AN44))</f>
        <v>0</v>
      </c>
      <c r="AP44" s="92">
        <f>IF(AP43&lt;=0,0,SUM($AE42:AO42)-SUM($AE44:AO44))</f>
        <v>0</v>
      </c>
    </row>
    <row r="45" spans="1:45">
      <c r="AD45" s="542">
        <f ca="1">SUM(S34:AD34)</f>
        <v>0</v>
      </c>
      <c r="AP45" s="136">
        <f ca="1">SUM(AE34:AP34)</f>
        <v>0</v>
      </c>
    </row>
    <row r="46" spans="1:45">
      <c r="A46" t="s">
        <v>569</v>
      </c>
      <c r="J46" t="s">
        <v>46</v>
      </c>
      <c r="R46" s="136">
        <f ca="1">SUM(R35:R35)</f>
        <v>0</v>
      </c>
      <c r="AD46" s="542">
        <f ca="1">SUM(AD45:AD45)</f>
        <v>0</v>
      </c>
      <c r="AP46" s="136">
        <f ca="1">SUM(AP45:AP45)</f>
        <v>0</v>
      </c>
    </row>
    <row r="47" spans="1:45" s="90" customFormat="1">
      <c r="A47"/>
      <c r="B47" s="81"/>
      <c r="C47"/>
      <c r="D47"/>
      <c r="E47"/>
      <c r="F47"/>
      <c r="G47"/>
      <c r="H47"/>
      <c r="I47" t="s">
        <v>46</v>
      </c>
      <c r="J47"/>
      <c r="K47"/>
      <c r="L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</row>
    <row r="48" spans="1:45">
      <c r="A48" s="90" t="s">
        <v>543</v>
      </c>
      <c r="B48" s="91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190">
        <f ca="1">SUM(R35:R35)</f>
        <v>0</v>
      </c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190">
        <f ca="1">SUM(AD45:AD45)</f>
        <v>0</v>
      </c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190">
        <f ca="1">SUM(AP45:AP45)</f>
        <v>0</v>
      </c>
      <c r="AQ48" s="90"/>
      <c r="AR48" s="90"/>
      <c r="AS48" s="90"/>
    </row>
    <row r="49" spans="1:45">
      <c r="G49" t="s">
        <v>46</v>
      </c>
    </row>
    <row r="50" spans="1:45">
      <c r="A50" s="170">
        <f>Cuestionario!C11</f>
        <v>44197</v>
      </c>
      <c r="B50" s="543">
        <f>A50</f>
        <v>44197</v>
      </c>
      <c r="F50">
        <v>1</v>
      </c>
      <c r="G50" s="544">
        <f>IF(F50=0,0,IF(G$2&lt;F$2,0,G$2))</f>
        <v>1</v>
      </c>
      <c r="H50" s="544">
        <f>IF(G50=0,0,IF(H$2&lt;G$2,0,H$2))</f>
        <v>2</v>
      </c>
      <c r="I50" s="544">
        <f>IF(H50=0,0,IF(I$2&lt;H$2,0,I$2))</f>
        <v>3</v>
      </c>
      <c r="J50" s="544">
        <f t="shared" ref="J50:AQ50" si="45">IF(I50=0,0,IF(J$2&lt;I$2,0,J$2))</f>
        <v>4</v>
      </c>
      <c r="K50" s="544">
        <f t="shared" si="45"/>
        <v>5</v>
      </c>
      <c r="L50" s="544">
        <f t="shared" si="45"/>
        <v>6</v>
      </c>
      <c r="M50" s="544">
        <f t="shared" si="45"/>
        <v>7</v>
      </c>
      <c r="N50" s="544">
        <f t="shared" si="45"/>
        <v>8</v>
      </c>
      <c r="O50" s="544">
        <f>IF(N50=0,0,IF(O$2&lt;N$2,0,O$2))</f>
        <v>9</v>
      </c>
      <c r="P50" s="544">
        <f t="shared" si="45"/>
        <v>10</v>
      </c>
      <c r="Q50" s="544">
        <f>IF(P50=0,0,IF(Q$2&lt;P$2,0,Q$2))</f>
        <v>11</v>
      </c>
      <c r="R50" s="544">
        <f t="shared" si="45"/>
        <v>12</v>
      </c>
      <c r="S50" s="544">
        <f t="shared" si="45"/>
        <v>0</v>
      </c>
      <c r="T50" s="544">
        <f>IF(S50=0,0,IF(T$2&lt;S$2,0,T$2))</f>
        <v>0</v>
      </c>
      <c r="U50" s="544">
        <f>IF(T50=0,0,IF(U$2&lt;T$2,0,U$2))</f>
        <v>0</v>
      </c>
      <c r="V50" s="544">
        <f t="shared" si="45"/>
        <v>0</v>
      </c>
      <c r="W50" s="544">
        <f t="shared" si="45"/>
        <v>0</v>
      </c>
      <c r="X50" s="544">
        <f t="shared" si="45"/>
        <v>0</v>
      </c>
      <c r="Y50" s="544">
        <f t="shared" si="45"/>
        <v>0</v>
      </c>
      <c r="Z50" s="544">
        <f t="shared" si="45"/>
        <v>0</v>
      </c>
      <c r="AA50" s="544">
        <f t="shared" si="45"/>
        <v>0</v>
      </c>
      <c r="AB50" s="544">
        <f t="shared" si="45"/>
        <v>0</v>
      </c>
      <c r="AC50" s="544">
        <f t="shared" si="45"/>
        <v>0</v>
      </c>
      <c r="AD50" s="544">
        <f t="shared" si="45"/>
        <v>0</v>
      </c>
      <c r="AE50" s="544">
        <f t="shared" si="45"/>
        <v>0</v>
      </c>
      <c r="AF50" s="544">
        <f t="shared" si="45"/>
        <v>0</v>
      </c>
      <c r="AG50" s="544">
        <f t="shared" si="45"/>
        <v>0</v>
      </c>
      <c r="AH50" s="544">
        <f t="shared" si="45"/>
        <v>0</v>
      </c>
      <c r="AI50" s="544">
        <f t="shared" si="45"/>
        <v>0</v>
      </c>
      <c r="AJ50" s="544">
        <f t="shared" si="45"/>
        <v>0</v>
      </c>
      <c r="AK50" s="544">
        <f t="shared" si="45"/>
        <v>0</v>
      </c>
      <c r="AL50" s="544">
        <f t="shared" si="45"/>
        <v>0</v>
      </c>
      <c r="AM50" s="544">
        <f t="shared" si="45"/>
        <v>0</v>
      </c>
      <c r="AN50" s="544">
        <f t="shared" si="45"/>
        <v>0</v>
      </c>
      <c r="AO50" s="544">
        <f t="shared" si="45"/>
        <v>0</v>
      </c>
      <c r="AP50" s="544">
        <f t="shared" si="45"/>
        <v>0</v>
      </c>
      <c r="AQ50" s="544">
        <f t="shared" si="45"/>
        <v>0</v>
      </c>
      <c r="AR50" s="544">
        <f>IF(AQ50=0,0,IF(AR$2&lt;AQ$2,0,AR$2))</f>
        <v>0</v>
      </c>
      <c r="AS50" s="544">
        <f>IF(AR50=0,0,IF(AS$2&lt;AR$2,0,AS$2))</f>
        <v>0</v>
      </c>
    </row>
    <row r="51" spans="1:45">
      <c r="G51" s="544">
        <f>IF(G50&lt;&gt;0,0,IF(F50=12,1,F51+1))</f>
        <v>0</v>
      </c>
      <c r="H51" s="544">
        <f>IF(H50&lt;&gt;0,0,IF(G50=12,1,G51+1))</f>
        <v>0</v>
      </c>
      <c r="I51" s="544">
        <f t="shared" ref="I51:O51" si="46">IF(I50&lt;&gt;0,0,IF(H50=12,1,H51+1))</f>
        <v>0</v>
      </c>
      <c r="J51" s="544">
        <f t="shared" si="46"/>
        <v>0</v>
      </c>
      <c r="K51" s="544">
        <f t="shared" si="46"/>
        <v>0</v>
      </c>
      <c r="L51" s="544">
        <f t="shared" si="46"/>
        <v>0</v>
      </c>
      <c r="M51" s="544">
        <f t="shared" si="46"/>
        <v>0</v>
      </c>
      <c r="N51" s="544">
        <f t="shared" si="46"/>
        <v>0</v>
      </c>
      <c r="O51" s="544">
        <f t="shared" si="46"/>
        <v>0</v>
      </c>
      <c r="P51" s="544">
        <f>IF(P50&lt;&gt;0,0,IF(O50=12,1,O51+1))</f>
        <v>0</v>
      </c>
      <c r="Q51" s="544">
        <f t="shared" ref="Q51:AP51" si="47">IF(Q50&lt;&gt;0,0,IF(P50=12,1,P51+1))</f>
        <v>0</v>
      </c>
      <c r="R51" s="544">
        <f t="shared" si="47"/>
        <v>0</v>
      </c>
      <c r="S51" s="544">
        <f t="shared" si="47"/>
        <v>1</v>
      </c>
      <c r="T51" s="544">
        <f>IF(T50&lt;&gt;0,0,IF(S50=12,1,S51+1))</f>
        <v>2</v>
      </c>
      <c r="U51" s="544">
        <f>IF(U50&lt;&gt;0,0,IF(T50=12,1,T51+1))</f>
        <v>3</v>
      </c>
      <c r="V51" s="544">
        <f t="shared" si="47"/>
        <v>4</v>
      </c>
      <c r="W51" s="544">
        <f t="shared" si="47"/>
        <v>5</v>
      </c>
      <c r="X51" s="544">
        <f t="shared" si="47"/>
        <v>6</v>
      </c>
      <c r="Y51" s="544">
        <f t="shared" si="47"/>
        <v>7</v>
      </c>
      <c r="Z51" s="544">
        <f t="shared" si="47"/>
        <v>8</v>
      </c>
      <c r="AA51" s="544">
        <f t="shared" si="47"/>
        <v>9</v>
      </c>
      <c r="AB51" s="544">
        <f t="shared" si="47"/>
        <v>10</v>
      </c>
      <c r="AC51" s="544">
        <f t="shared" si="47"/>
        <v>11</v>
      </c>
      <c r="AD51" s="544">
        <f t="shared" si="47"/>
        <v>12</v>
      </c>
      <c r="AE51" s="544">
        <f t="shared" si="47"/>
        <v>13</v>
      </c>
      <c r="AF51" s="544">
        <f t="shared" si="47"/>
        <v>14</v>
      </c>
      <c r="AG51" s="544">
        <f t="shared" si="47"/>
        <v>15</v>
      </c>
      <c r="AH51" s="544">
        <f t="shared" si="47"/>
        <v>16</v>
      </c>
      <c r="AI51" s="544">
        <f t="shared" si="47"/>
        <v>17</v>
      </c>
      <c r="AJ51" s="544">
        <f t="shared" si="47"/>
        <v>18</v>
      </c>
      <c r="AK51" s="544">
        <f t="shared" si="47"/>
        <v>19</v>
      </c>
      <c r="AL51" s="544">
        <f t="shared" si="47"/>
        <v>20</v>
      </c>
      <c r="AM51" s="544">
        <f t="shared" si="47"/>
        <v>21</v>
      </c>
      <c r="AN51" s="544">
        <f t="shared" si="47"/>
        <v>22</v>
      </c>
      <c r="AO51" s="544">
        <f t="shared" si="47"/>
        <v>23</v>
      </c>
      <c r="AP51" s="544">
        <f t="shared" si="47"/>
        <v>24</v>
      </c>
      <c r="AQ51" s="544">
        <v>0</v>
      </c>
      <c r="AR51" s="544">
        <v>0</v>
      </c>
      <c r="AS51" s="544">
        <v>0</v>
      </c>
    </row>
    <row r="52" spans="1:45">
      <c r="B52" s="543">
        <f>B50+366</f>
        <v>44563</v>
      </c>
      <c r="G52" s="544">
        <v>0</v>
      </c>
      <c r="H52">
        <f t="shared" ref="H52:O52" si="48">IF(H51&gt;12,0,H51)</f>
        <v>0</v>
      </c>
      <c r="I52">
        <f t="shared" si="48"/>
        <v>0</v>
      </c>
      <c r="J52">
        <f t="shared" si="48"/>
        <v>0</v>
      </c>
      <c r="K52">
        <f t="shared" si="48"/>
        <v>0</v>
      </c>
      <c r="L52">
        <f t="shared" si="48"/>
        <v>0</v>
      </c>
      <c r="M52">
        <f t="shared" si="48"/>
        <v>0</v>
      </c>
      <c r="N52">
        <f t="shared" si="48"/>
        <v>0</v>
      </c>
      <c r="O52">
        <f t="shared" si="48"/>
        <v>0</v>
      </c>
      <c r="P52">
        <f>IF(IF(P50&lt;&gt;0,0,IF(O50=12,1,O51+1))&gt;12,0,P51)</f>
        <v>0</v>
      </c>
      <c r="Q52">
        <f t="shared" ref="Q52:AQ52" si="49">IF(Q51&gt;12,0,Q51)</f>
        <v>0</v>
      </c>
      <c r="R52">
        <f t="shared" si="49"/>
        <v>0</v>
      </c>
      <c r="S52">
        <f t="shared" si="49"/>
        <v>1</v>
      </c>
      <c r="T52">
        <f t="shared" si="49"/>
        <v>2</v>
      </c>
      <c r="U52">
        <f t="shared" si="49"/>
        <v>3</v>
      </c>
      <c r="V52">
        <f t="shared" si="49"/>
        <v>4</v>
      </c>
      <c r="W52">
        <f t="shared" si="49"/>
        <v>5</v>
      </c>
      <c r="X52">
        <f t="shared" si="49"/>
        <v>6</v>
      </c>
      <c r="Y52">
        <f t="shared" si="49"/>
        <v>7</v>
      </c>
      <c r="Z52">
        <f t="shared" si="49"/>
        <v>8</v>
      </c>
      <c r="AA52">
        <f t="shared" si="49"/>
        <v>9</v>
      </c>
      <c r="AB52">
        <f t="shared" si="49"/>
        <v>10</v>
      </c>
      <c r="AC52">
        <f t="shared" si="49"/>
        <v>11</v>
      </c>
      <c r="AD52">
        <f t="shared" si="49"/>
        <v>12</v>
      </c>
      <c r="AE52">
        <f t="shared" si="49"/>
        <v>0</v>
      </c>
      <c r="AF52">
        <f t="shared" si="49"/>
        <v>0</v>
      </c>
      <c r="AG52">
        <f t="shared" si="49"/>
        <v>0</v>
      </c>
      <c r="AH52">
        <f t="shared" si="49"/>
        <v>0</v>
      </c>
      <c r="AI52">
        <f t="shared" si="49"/>
        <v>0</v>
      </c>
      <c r="AJ52">
        <f t="shared" si="49"/>
        <v>0</v>
      </c>
      <c r="AK52">
        <f t="shared" si="49"/>
        <v>0</v>
      </c>
      <c r="AL52">
        <f t="shared" si="49"/>
        <v>0</v>
      </c>
      <c r="AM52">
        <f t="shared" si="49"/>
        <v>0</v>
      </c>
      <c r="AN52">
        <f t="shared" si="49"/>
        <v>0</v>
      </c>
      <c r="AO52">
        <f t="shared" si="49"/>
        <v>0</v>
      </c>
      <c r="AP52">
        <f t="shared" si="49"/>
        <v>0</v>
      </c>
      <c r="AQ52">
        <f t="shared" si="49"/>
        <v>0</v>
      </c>
      <c r="AR52">
        <f>IF(AR51&gt;12,0,AR51)</f>
        <v>0</v>
      </c>
      <c r="AS52">
        <f>IF(AS51&gt;12,0,AS51)</f>
        <v>0</v>
      </c>
    </row>
    <row r="53" spans="1:45">
      <c r="B53" s="543"/>
      <c r="G53" s="544"/>
      <c r="H53" s="544"/>
      <c r="I53" s="544"/>
      <c r="J53" s="544"/>
      <c r="K53" s="544"/>
      <c r="L53" s="544"/>
      <c r="M53" s="544"/>
      <c r="N53" s="544"/>
      <c r="O53" s="544"/>
      <c r="P53" s="544"/>
      <c r="Q53" s="544"/>
      <c r="R53" s="544"/>
      <c r="S53" s="544">
        <f>IF(S52&lt;&gt;0,0,IF(R52=12,1,R53+1))</f>
        <v>0</v>
      </c>
      <c r="T53" s="544">
        <f t="shared" ref="T53:AP53" si="50">IF(T52&lt;&gt;0,0,IF(S52=12,1,S53+1))</f>
        <v>0</v>
      </c>
      <c r="U53" s="544">
        <f t="shared" si="50"/>
        <v>0</v>
      </c>
      <c r="V53" s="544">
        <f t="shared" si="50"/>
        <v>0</v>
      </c>
      <c r="W53" s="544">
        <f t="shared" si="50"/>
        <v>0</v>
      </c>
      <c r="X53" s="544">
        <f t="shared" si="50"/>
        <v>0</v>
      </c>
      <c r="Y53" s="544">
        <f t="shared" si="50"/>
        <v>0</v>
      </c>
      <c r="Z53" s="544">
        <f t="shared" si="50"/>
        <v>0</v>
      </c>
      <c r="AA53" s="544">
        <f t="shared" si="50"/>
        <v>0</v>
      </c>
      <c r="AB53" s="544">
        <f t="shared" si="50"/>
        <v>0</v>
      </c>
      <c r="AC53" s="544">
        <f t="shared" si="50"/>
        <v>0</v>
      </c>
      <c r="AD53" s="544">
        <f t="shared" si="50"/>
        <v>0</v>
      </c>
      <c r="AE53" s="544">
        <f t="shared" si="50"/>
        <v>1</v>
      </c>
      <c r="AF53" s="544">
        <f t="shared" si="50"/>
        <v>2</v>
      </c>
      <c r="AG53" s="544">
        <f t="shared" si="50"/>
        <v>3</v>
      </c>
      <c r="AH53" s="544">
        <f t="shared" si="50"/>
        <v>4</v>
      </c>
      <c r="AI53" s="544">
        <f t="shared" si="50"/>
        <v>5</v>
      </c>
      <c r="AJ53" s="544">
        <f t="shared" si="50"/>
        <v>6</v>
      </c>
      <c r="AK53" s="544">
        <f t="shared" si="50"/>
        <v>7</v>
      </c>
      <c r="AL53" s="544">
        <f t="shared" si="50"/>
        <v>8</v>
      </c>
      <c r="AM53" s="544">
        <f t="shared" si="50"/>
        <v>9</v>
      </c>
      <c r="AN53" s="544">
        <f t="shared" si="50"/>
        <v>10</v>
      </c>
      <c r="AO53" s="544">
        <f t="shared" si="50"/>
        <v>11</v>
      </c>
      <c r="AP53" s="544">
        <f t="shared" si="50"/>
        <v>12</v>
      </c>
      <c r="AQ53" s="544">
        <v>0</v>
      </c>
      <c r="AR53" s="544">
        <v>0</v>
      </c>
      <c r="AS53" s="544">
        <v>0</v>
      </c>
    </row>
    <row r="54" spans="1:45">
      <c r="B54" s="543">
        <f>B52+366</f>
        <v>44929</v>
      </c>
      <c r="G54" s="544">
        <v>0</v>
      </c>
      <c r="H54" s="544">
        <v>0</v>
      </c>
      <c r="I54" s="544">
        <v>0</v>
      </c>
      <c r="J54" s="544">
        <v>0</v>
      </c>
      <c r="K54" s="544">
        <v>0</v>
      </c>
      <c r="L54" s="544">
        <v>0</v>
      </c>
      <c r="M54" s="544">
        <v>0</v>
      </c>
      <c r="N54" s="544">
        <v>0</v>
      </c>
      <c r="O54" s="544">
        <v>0</v>
      </c>
      <c r="P54" s="544">
        <v>0</v>
      </c>
      <c r="Q54" s="544">
        <v>0</v>
      </c>
      <c r="R54" s="544">
        <v>0</v>
      </c>
      <c r="S54">
        <f t="shared" ref="S54:AS54" si="51">IF(S53&gt;12,0,S53)</f>
        <v>0</v>
      </c>
      <c r="T54">
        <f t="shared" si="51"/>
        <v>0</v>
      </c>
      <c r="U54">
        <f t="shared" si="51"/>
        <v>0</v>
      </c>
      <c r="V54">
        <f t="shared" si="51"/>
        <v>0</v>
      </c>
      <c r="W54">
        <f t="shared" si="51"/>
        <v>0</v>
      </c>
      <c r="X54">
        <f t="shared" si="51"/>
        <v>0</v>
      </c>
      <c r="Y54">
        <f t="shared" si="51"/>
        <v>0</v>
      </c>
      <c r="Z54">
        <f t="shared" si="51"/>
        <v>0</v>
      </c>
      <c r="AA54">
        <f t="shared" si="51"/>
        <v>0</v>
      </c>
      <c r="AB54">
        <f t="shared" si="51"/>
        <v>0</v>
      </c>
      <c r="AC54">
        <f t="shared" si="51"/>
        <v>0</v>
      </c>
      <c r="AD54">
        <f t="shared" si="51"/>
        <v>0</v>
      </c>
      <c r="AE54">
        <f t="shared" si="51"/>
        <v>1</v>
      </c>
      <c r="AF54">
        <f t="shared" si="51"/>
        <v>2</v>
      </c>
      <c r="AG54">
        <f t="shared" si="51"/>
        <v>3</v>
      </c>
      <c r="AH54">
        <f t="shared" si="51"/>
        <v>4</v>
      </c>
      <c r="AI54">
        <f t="shared" si="51"/>
        <v>5</v>
      </c>
      <c r="AJ54">
        <f t="shared" si="51"/>
        <v>6</v>
      </c>
      <c r="AK54">
        <f t="shared" si="51"/>
        <v>7</v>
      </c>
      <c r="AL54">
        <f t="shared" si="51"/>
        <v>8</v>
      </c>
      <c r="AM54">
        <f t="shared" si="51"/>
        <v>9</v>
      </c>
      <c r="AN54">
        <f t="shared" si="51"/>
        <v>10</v>
      </c>
      <c r="AO54">
        <f t="shared" si="51"/>
        <v>11</v>
      </c>
      <c r="AP54">
        <f t="shared" si="51"/>
        <v>12</v>
      </c>
      <c r="AQ54">
        <f t="shared" si="51"/>
        <v>0</v>
      </c>
      <c r="AR54">
        <f t="shared" si="51"/>
        <v>0</v>
      </c>
      <c r="AS54">
        <f t="shared" si="51"/>
        <v>0</v>
      </c>
    </row>
    <row r="55" spans="1:45">
      <c r="B55" s="543"/>
      <c r="G55" s="544"/>
      <c r="H55" s="544"/>
      <c r="I55" s="544"/>
      <c r="J55" s="544"/>
      <c r="K55" s="544"/>
      <c r="L55" s="544"/>
      <c r="M55" s="544"/>
      <c r="N55" s="544"/>
      <c r="O55" s="544"/>
      <c r="P55" s="544"/>
      <c r="Q55" s="544"/>
      <c r="R55" s="544"/>
      <c r="S55" s="544"/>
      <c r="T55" s="544"/>
      <c r="U55" s="544"/>
      <c r="V55" s="544"/>
      <c r="W55" s="544"/>
      <c r="X55" s="544"/>
      <c r="Y55" s="544"/>
      <c r="Z55" s="544"/>
      <c r="AA55" s="544"/>
      <c r="AB55" s="544"/>
      <c r="AC55" s="544"/>
      <c r="AD55" s="544"/>
      <c r="AE55" s="544">
        <f t="shared" ref="AE55:AP55" si="52">IF(AE54&lt;&gt;0,0,IF(AD54=12,1,AD55+1))</f>
        <v>0</v>
      </c>
      <c r="AF55" s="544">
        <f t="shared" si="52"/>
        <v>0</v>
      </c>
      <c r="AG55" s="544">
        <f t="shared" si="52"/>
        <v>0</v>
      </c>
      <c r="AH55" s="544">
        <f t="shared" si="52"/>
        <v>0</v>
      </c>
      <c r="AI55" s="544">
        <f t="shared" si="52"/>
        <v>0</v>
      </c>
      <c r="AJ55" s="544">
        <f t="shared" si="52"/>
        <v>0</v>
      </c>
      <c r="AK55" s="544">
        <f t="shared" si="52"/>
        <v>0</v>
      </c>
      <c r="AL55" s="544">
        <f t="shared" si="52"/>
        <v>0</v>
      </c>
      <c r="AM55" s="544">
        <f t="shared" si="52"/>
        <v>0</v>
      </c>
      <c r="AN55" s="544">
        <f t="shared" si="52"/>
        <v>0</v>
      </c>
      <c r="AO55" s="544">
        <f t="shared" si="52"/>
        <v>0</v>
      </c>
      <c r="AP55" s="544">
        <f t="shared" si="52"/>
        <v>0</v>
      </c>
      <c r="AQ55" s="544">
        <v>0</v>
      </c>
      <c r="AR55" s="544">
        <v>0</v>
      </c>
      <c r="AS55" s="544">
        <v>0</v>
      </c>
    </row>
    <row r="56" spans="1:45">
      <c r="B56" s="543">
        <f>B54+366</f>
        <v>45295</v>
      </c>
      <c r="G56" s="544">
        <v>0</v>
      </c>
      <c r="H56" s="544">
        <v>0</v>
      </c>
      <c r="I56" s="544">
        <v>0</v>
      </c>
      <c r="J56" s="544">
        <v>0</v>
      </c>
      <c r="K56" s="544">
        <v>0</v>
      </c>
      <c r="L56" s="544">
        <v>0</v>
      </c>
      <c r="M56" s="544">
        <v>0</v>
      </c>
      <c r="N56" s="544">
        <v>0</v>
      </c>
      <c r="O56" s="544">
        <v>0</v>
      </c>
      <c r="P56" s="544">
        <v>0</v>
      </c>
      <c r="Q56" s="544">
        <v>0</v>
      </c>
      <c r="R56" s="544">
        <v>0</v>
      </c>
      <c r="S56">
        <f t="shared" ref="S56:AP56" si="53">IF(S55&gt;12,0,S55)</f>
        <v>0</v>
      </c>
      <c r="T56">
        <f t="shared" si="53"/>
        <v>0</v>
      </c>
      <c r="U56">
        <f t="shared" si="53"/>
        <v>0</v>
      </c>
      <c r="V56">
        <f t="shared" si="53"/>
        <v>0</v>
      </c>
      <c r="W56">
        <f t="shared" si="53"/>
        <v>0</v>
      </c>
      <c r="X56">
        <f t="shared" si="53"/>
        <v>0</v>
      </c>
      <c r="Y56">
        <f t="shared" si="53"/>
        <v>0</v>
      </c>
      <c r="Z56">
        <f t="shared" si="53"/>
        <v>0</v>
      </c>
      <c r="AA56">
        <f t="shared" si="53"/>
        <v>0</v>
      </c>
      <c r="AB56">
        <f t="shared" si="53"/>
        <v>0</v>
      </c>
      <c r="AC56">
        <f t="shared" si="53"/>
        <v>0</v>
      </c>
      <c r="AD56">
        <f t="shared" si="53"/>
        <v>0</v>
      </c>
      <c r="AE56">
        <f t="shared" si="53"/>
        <v>0</v>
      </c>
      <c r="AF56">
        <f t="shared" si="53"/>
        <v>0</v>
      </c>
      <c r="AG56">
        <f t="shared" si="53"/>
        <v>0</v>
      </c>
      <c r="AH56">
        <f t="shared" si="53"/>
        <v>0</v>
      </c>
      <c r="AI56">
        <f t="shared" si="53"/>
        <v>0</v>
      </c>
      <c r="AJ56">
        <f t="shared" si="53"/>
        <v>0</v>
      </c>
      <c r="AK56">
        <f t="shared" si="53"/>
        <v>0</v>
      </c>
      <c r="AL56">
        <f t="shared" si="53"/>
        <v>0</v>
      </c>
      <c r="AM56">
        <f t="shared" si="53"/>
        <v>0</v>
      </c>
      <c r="AN56">
        <f t="shared" si="53"/>
        <v>0</v>
      </c>
      <c r="AO56">
        <f t="shared" si="53"/>
        <v>0</v>
      </c>
      <c r="AP56">
        <f t="shared" si="53"/>
        <v>0</v>
      </c>
      <c r="AQ56">
        <v>0</v>
      </c>
      <c r="AR56">
        <v>0</v>
      </c>
      <c r="AS56">
        <v>0</v>
      </c>
    </row>
    <row r="57" spans="1:45">
      <c r="B57" s="543"/>
      <c r="G57" s="544"/>
      <c r="H57" s="544"/>
      <c r="I57" s="544"/>
      <c r="J57" s="544"/>
      <c r="K57" s="544"/>
      <c r="L57" s="544"/>
      <c r="M57" s="544"/>
      <c r="N57" s="544"/>
      <c r="O57" s="544"/>
      <c r="P57" s="544"/>
      <c r="Q57" s="544"/>
      <c r="R57" s="544"/>
    </row>
    <row r="58" spans="1:45">
      <c r="A58" t="s">
        <v>544</v>
      </c>
      <c r="B58" s="543">
        <f>B50</f>
        <v>44197</v>
      </c>
      <c r="G58" s="544">
        <f ca="1">IF(G50=0,0,G$42)</f>
        <v>0</v>
      </c>
      <c r="H58" s="544">
        <f t="shared" ref="H58:AP58" ca="1" si="54">IF(H50=0,0,H$42)</f>
        <v>0</v>
      </c>
      <c r="I58" s="544">
        <f t="shared" ca="1" si="54"/>
        <v>0</v>
      </c>
      <c r="J58" s="544">
        <f t="shared" ca="1" si="54"/>
        <v>0</v>
      </c>
      <c r="K58" s="544">
        <f t="shared" ca="1" si="54"/>
        <v>0</v>
      </c>
      <c r="L58" s="544">
        <f t="shared" ca="1" si="54"/>
        <v>0</v>
      </c>
      <c r="M58" s="544">
        <f t="shared" ca="1" si="54"/>
        <v>0</v>
      </c>
      <c r="N58" s="544">
        <f t="shared" ca="1" si="54"/>
        <v>0</v>
      </c>
      <c r="O58" s="544">
        <f t="shared" ca="1" si="54"/>
        <v>0</v>
      </c>
      <c r="P58" s="544">
        <f t="shared" ca="1" si="54"/>
        <v>0</v>
      </c>
      <c r="Q58" s="544">
        <f t="shared" ca="1" si="54"/>
        <v>0</v>
      </c>
      <c r="R58" s="544">
        <f t="shared" ca="1" si="54"/>
        <v>0</v>
      </c>
      <c r="S58" s="544">
        <f t="shared" si="54"/>
        <v>0</v>
      </c>
      <c r="T58" s="544">
        <f t="shared" si="54"/>
        <v>0</v>
      </c>
      <c r="U58" s="544">
        <f t="shared" si="54"/>
        <v>0</v>
      </c>
      <c r="V58" s="544">
        <f t="shared" si="54"/>
        <v>0</v>
      </c>
      <c r="W58" s="544">
        <f t="shared" si="54"/>
        <v>0</v>
      </c>
      <c r="X58" s="544">
        <f t="shared" si="54"/>
        <v>0</v>
      </c>
      <c r="Y58" s="544">
        <f t="shared" si="54"/>
        <v>0</v>
      </c>
      <c r="Z58" s="544">
        <f t="shared" si="54"/>
        <v>0</v>
      </c>
      <c r="AA58" s="544">
        <f t="shared" si="54"/>
        <v>0</v>
      </c>
      <c r="AB58" s="544">
        <f t="shared" si="54"/>
        <v>0</v>
      </c>
      <c r="AC58" s="544">
        <f t="shared" si="54"/>
        <v>0</v>
      </c>
      <c r="AD58" s="544">
        <f t="shared" si="54"/>
        <v>0</v>
      </c>
      <c r="AE58" s="544">
        <f t="shared" si="54"/>
        <v>0</v>
      </c>
      <c r="AF58" s="544">
        <f t="shared" si="54"/>
        <v>0</v>
      </c>
      <c r="AG58" s="544">
        <f t="shared" si="54"/>
        <v>0</v>
      </c>
      <c r="AH58" s="544">
        <f t="shared" si="54"/>
        <v>0</v>
      </c>
      <c r="AI58" s="544">
        <f t="shared" si="54"/>
        <v>0</v>
      </c>
      <c r="AJ58" s="544">
        <f t="shared" si="54"/>
        <v>0</v>
      </c>
      <c r="AK58" s="544">
        <f t="shared" si="54"/>
        <v>0</v>
      </c>
      <c r="AL58" s="544">
        <f t="shared" si="54"/>
        <v>0</v>
      </c>
      <c r="AM58" s="544">
        <f t="shared" si="54"/>
        <v>0</v>
      </c>
      <c r="AN58" s="544">
        <f t="shared" si="54"/>
        <v>0</v>
      </c>
      <c r="AO58" s="544">
        <f t="shared" si="54"/>
        <v>0</v>
      </c>
      <c r="AP58" s="544">
        <f t="shared" si="54"/>
        <v>0</v>
      </c>
      <c r="AQ58" s="544">
        <f>IF(AQ50=0,0,AQ$42)</f>
        <v>0</v>
      </c>
      <c r="AR58" s="544">
        <f>IF(AR50=0,0,AR$42)</f>
        <v>0</v>
      </c>
      <c r="AS58" s="544">
        <f>IF(AS50=0,0,AS$42)</f>
        <v>0</v>
      </c>
    </row>
    <row r="59" spans="1:45">
      <c r="B59" s="543">
        <f>B52</f>
        <v>44563</v>
      </c>
      <c r="G59" s="544">
        <f>IF(G52=0,0,G$42)</f>
        <v>0</v>
      </c>
      <c r="H59" s="544">
        <f t="shared" ref="H59:AP59" si="55">IF(H52=0,0,H$42)</f>
        <v>0</v>
      </c>
      <c r="I59" s="544">
        <f t="shared" si="55"/>
        <v>0</v>
      </c>
      <c r="J59" s="544">
        <f t="shared" si="55"/>
        <v>0</v>
      </c>
      <c r="K59" s="544">
        <f t="shared" si="55"/>
        <v>0</v>
      </c>
      <c r="L59" s="544">
        <f t="shared" si="55"/>
        <v>0</v>
      </c>
      <c r="M59" s="544">
        <f t="shared" si="55"/>
        <v>0</v>
      </c>
      <c r="N59" s="544">
        <f t="shared" si="55"/>
        <v>0</v>
      </c>
      <c r="O59" s="544">
        <f t="shared" si="55"/>
        <v>0</v>
      </c>
      <c r="P59" s="544">
        <f t="shared" si="55"/>
        <v>0</v>
      </c>
      <c r="Q59" s="544">
        <f t="shared" si="55"/>
        <v>0</v>
      </c>
      <c r="R59" s="544">
        <f t="shared" si="55"/>
        <v>0</v>
      </c>
      <c r="S59" s="544">
        <f t="shared" ca="1" si="55"/>
        <v>0</v>
      </c>
      <c r="T59" s="544">
        <f t="shared" ca="1" si="55"/>
        <v>0</v>
      </c>
      <c r="U59" s="544">
        <f t="shared" ca="1" si="55"/>
        <v>0</v>
      </c>
      <c r="V59" s="544">
        <f t="shared" ca="1" si="55"/>
        <v>0</v>
      </c>
      <c r="W59" s="544">
        <f t="shared" ca="1" si="55"/>
        <v>0</v>
      </c>
      <c r="X59" s="544">
        <f t="shared" ca="1" si="55"/>
        <v>0</v>
      </c>
      <c r="Y59" s="544">
        <f t="shared" ca="1" si="55"/>
        <v>0</v>
      </c>
      <c r="Z59" s="544">
        <f t="shared" ca="1" si="55"/>
        <v>0</v>
      </c>
      <c r="AA59" s="544">
        <f t="shared" ca="1" si="55"/>
        <v>0</v>
      </c>
      <c r="AB59" s="544">
        <f t="shared" ca="1" si="55"/>
        <v>0</v>
      </c>
      <c r="AC59" s="544">
        <f t="shared" ca="1" si="55"/>
        <v>0</v>
      </c>
      <c r="AD59" s="544">
        <f t="shared" ca="1" si="55"/>
        <v>0</v>
      </c>
      <c r="AE59" s="544">
        <f t="shared" si="55"/>
        <v>0</v>
      </c>
      <c r="AF59" s="544">
        <f t="shared" si="55"/>
        <v>0</v>
      </c>
      <c r="AG59" s="544">
        <f t="shared" si="55"/>
        <v>0</v>
      </c>
      <c r="AH59" s="544">
        <f t="shared" si="55"/>
        <v>0</v>
      </c>
      <c r="AI59" s="544">
        <f t="shared" si="55"/>
        <v>0</v>
      </c>
      <c r="AJ59" s="544">
        <f t="shared" si="55"/>
        <v>0</v>
      </c>
      <c r="AK59" s="544">
        <f t="shared" si="55"/>
        <v>0</v>
      </c>
      <c r="AL59" s="544">
        <f t="shared" si="55"/>
        <v>0</v>
      </c>
      <c r="AM59" s="544">
        <f t="shared" si="55"/>
        <v>0</v>
      </c>
      <c r="AN59" s="544">
        <f t="shared" si="55"/>
        <v>0</v>
      </c>
      <c r="AO59" s="544">
        <f t="shared" si="55"/>
        <v>0</v>
      </c>
      <c r="AP59" s="544">
        <f t="shared" si="55"/>
        <v>0</v>
      </c>
      <c r="AQ59" s="544">
        <f>IF(AQ52=0,0,AQ$42)</f>
        <v>0</v>
      </c>
      <c r="AR59" s="544">
        <f>IF(AR52=0,0,AR$42)</f>
        <v>0</v>
      </c>
      <c r="AS59" s="544">
        <f>IF(AS52=0,0,AS$42)</f>
        <v>0</v>
      </c>
    </row>
    <row r="60" spans="1:45">
      <c r="B60" s="543">
        <f>B54</f>
        <v>44929</v>
      </c>
      <c r="G60" s="544">
        <f>IF(G54=0,0,G$42)</f>
        <v>0</v>
      </c>
      <c r="H60" s="544">
        <f t="shared" ref="H60:AP60" si="56">IF(H54=0,0,H$42)</f>
        <v>0</v>
      </c>
      <c r="I60" s="544">
        <f t="shared" si="56"/>
        <v>0</v>
      </c>
      <c r="J60" s="544">
        <f t="shared" si="56"/>
        <v>0</v>
      </c>
      <c r="K60" s="544">
        <f t="shared" si="56"/>
        <v>0</v>
      </c>
      <c r="L60" s="544">
        <f t="shared" si="56"/>
        <v>0</v>
      </c>
      <c r="M60" s="544">
        <f t="shared" si="56"/>
        <v>0</v>
      </c>
      <c r="N60" s="544">
        <f t="shared" si="56"/>
        <v>0</v>
      </c>
      <c r="O60" s="544">
        <f t="shared" si="56"/>
        <v>0</v>
      </c>
      <c r="P60" s="544">
        <f t="shared" si="56"/>
        <v>0</v>
      </c>
      <c r="Q60" s="544">
        <f t="shared" si="56"/>
        <v>0</v>
      </c>
      <c r="R60" s="544">
        <f t="shared" si="56"/>
        <v>0</v>
      </c>
      <c r="S60" s="544">
        <f t="shared" si="56"/>
        <v>0</v>
      </c>
      <c r="T60" s="544">
        <f t="shared" si="56"/>
        <v>0</v>
      </c>
      <c r="U60" s="544">
        <f t="shared" si="56"/>
        <v>0</v>
      </c>
      <c r="V60" s="544">
        <f t="shared" si="56"/>
        <v>0</v>
      </c>
      <c r="W60" s="544">
        <f t="shared" si="56"/>
        <v>0</v>
      </c>
      <c r="X60" s="544">
        <f t="shared" si="56"/>
        <v>0</v>
      </c>
      <c r="Y60" s="544">
        <f t="shared" si="56"/>
        <v>0</v>
      </c>
      <c r="Z60" s="544">
        <f t="shared" si="56"/>
        <v>0</v>
      </c>
      <c r="AA60" s="544">
        <f t="shared" si="56"/>
        <v>0</v>
      </c>
      <c r="AB60" s="544">
        <f t="shared" si="56"/>
        <v>0</v>
      </c>
      <c r="AC60" s="544">
        <f t="shared" si="56"/>
        <v>0</v>
      </c>
      <c r="AD60" s="544">
        <f t="shared" si="56"/>
        <v>0</v>
      </c>
      <c r="AE60" s="544">
        <f t="shared" ca="1" si="56"/>
        <v>0</v>
      </c>
      <c r="AF60" s="544">
        <f t="shared" ca="1" si="56"/>
        <v>0</v>
      </c>
      <c r="AG60" s="544">
        <f t="shared" ca="1" si="56"/>
        <v>0</v>
      </c>
      <c r="AH60" s="544">
        <f t="shared" ca="1" si="56"/>
        <v>0</v>
      </c>
      <c r="AI60" s="544">
        <f t="shared" ca="1" si="56"/>
        <v>0</v>
      </c>
      <c r="AJ60" s="544">
        <f t="shared" ca="1" si="56"/>
        <v>0</v>
      </c>
      <c r="AK60" s="544">
        <f t="shared" ca="1" si="56"/>
        <v>0</v>
      </c>
      <c r="AL60" s="544">
        <f t="shared" ca="1" si="56"/>
        <v>0</v>
      </c>
      <c r="AM60" s="544">
        <f t="shared" ca="1" si="56"/>
        <v>0</v>
      </c>
      <c r="AN60" s="544">
        <f t="shared" ca="1" si="56"/>
        <v>0</v>
      </c>
      <c r="AO60" s="544">
        <f t="shared" ca="1" si="56"/>
        <v>0</v>
      </c>
      <c r="AP60" s="544">
        <f t="shared" ca="1" si="56"/>
        <v>0</v>
      </c>
      <c r="AQ60" s="544">
        <f>IF(AQ54=0,0,AQ$42)</f>
        <v>0</v>
      </c>
      <c r="AR60" s="544">
        <f>IF(AR54=0,0,AR$42)</f>
        <v>0</v>
      </c>
      <c r="AS60" s="544">
        <f>IF(AS54=0,0,AS$42)</f>
        <v>0</v>
      </c>
    </row>
    <row r="61" spans="1:45">
      <c r="B61" s="543">
        <f>B56</f>
        <v>45295</v>
      </c>
      <c r="G61" s="544">
        <f>IF(G56=0,0,G$42)</f>
        <v>0</v>
      </c>
      <c r="H61" s="544">
        <f t="shared" ref="H61:AP61" si="57">IF(H56=0,0,H$42)</f>
        <v>0</v>
      </c>
      <c r="I61" s="544">
        <f t="shared" si="57"/>
        <v>0</v>
      </c>
      <c r="J61" s="544">
        <f t="shared" si="57"/>
        <v>0</v>
      </c>
      <c r="K61" s="544">
        <f t="shared" si="57"/>
        <v>0</v>
      </c>
      <c r="L61" s="544">
        <f t="shared" si="57"/>
        <v>0</v>
      </c>
      <c r="M61" s="544">
        <f t="shared" si="57"/>
        <v>0</v>
      </c>
      <c r="N61" s="544">
        <f t="shared" si="57"/>
        <v>0</v>
      </c>
      <c r="O61" s="544">
        <f t="shared" si="57"/>
        <v>0</v>
      </c>
      <c r="P61" s="544">
        <f t="shared" si="57"/>
        <v>0</v>
      </c>
      <c r="Q61" s="544">
        <f t="shared" si="57"/>
        <v>0</v>
      </c>
      <c r="R61" s="544">
        <f t="shared" si="57"/>
        <v>0</v>
      </c>
      <c r="S61" s="544">
        <f t="shared" si="57"/>
        <v>0</v>
      </c>
      <c r="T61" s="544">
        <f t="shared" si="57"/>
        <v>0</v>
      </c>
      <c r="U61" s="544">
        <f t="shared" si="57"/>
        <v>0</v>
      </c>
      <c r="V61" s="544">
        <f t="shared" si="57"/>
        <v>0</v>
      </c>
      <c r="W61" s="544">
        <f t="shared" si="57"/>
        <v>0</v>
      </c>
      <c r="X61" s="544">
        <f t="shared" si="57"/>
        <v>0</v>
      </c>
      <c r="Y61" s="544">
        <f t="shared" si="57"/>
        <v>0</v>
      </c>
      <c r="Z61" s="544">
        <f t="shared" si="57"/>
        <v>0</v>
      </c>
      <c r="AA61" s="544">
        <f t="shared" si="57"/>
        <v>0</v>
      </c>
      <c r="AB61" s="544">
        <f t="shared" si="57"/>
        <v>0</v>
      </c>
      <c r="AC61" s="544">
        <f t="shared" si="57"/>
        <v>0</v>
      </c>
      <c r="AD61" s="544">
        <f t="shared" si="57"/>
        <v>0</v>
      </c>
      <c r="AE61" s="544">
        <f t="shared" si="57"/>
        <v>0</v>
      </c>
      <c r="AF61" s="544">
        <f t="shared" si="57"/>
        <v>0</v>
      </c>
      <c r="AG61" s="544">
        <f t="shared" si="57"/>
        <v>0</v>
      </c>
      <c r="AH61" s="544">
        <f t="shared" si="57"/>
        <v>0</v>
      </c>
      <c r="AI61" s="544">
        <f t="shared" si="57"/>
        <v>0</v>
      </c>
      <c r="AJ61" s="544">
        <f t="shared" si="57"/>
        <v>0</v>
      </c>
      <c r="AK61" s="544">
        <f t="shared" si="57"/>
        <v>0</v>
      </c>
      <c r="AL61" s="544">
        <f t="shared" si="57"/>
        <v>0</v>
      </c>
      <c r="AM61" s="544">
        <f t="shared" si="57"/>
        <v>0</v>
      </c>
      <c r="AN61" s="544">
        <f t="shared" si="57"/>
        <v>0</v>
      </c>
      <c r="AO61" s="544">
        <f t="shared" si="57"/>
        <v>0</v>
      </c>
      <c r="AP61" s="544">
        <f t="shared" si="57"/>
        <v>0</v>
      </c>
      <c r="AQ61" s="544">
        <f>IF(AQ56=0,0,AQ$42)</f>
        <v>0</v>
      </c>
      <c r="AR61" s="544">
        <f>IF(AR56=0,0,AR$42)</f>
        <v>0</v>
      </c>
      <c r="AS61" s="544">
        <f>IF(AS56=0,0,AS$42)</f>
        <v>0</v>
      </c>
    </row>
    <row r="63" spans="1:45">
      <c r="A63" t="s">
        <v>545</v>
      </c>
      <c r="B63" s="543">
        <f>B58</f>
        <v>44197</v>
      </c>
      <c r="G63" s="544"/>
      <c r="H63" s="544">
        <f>IF(IF(G50=0,0,IF(OR(H$3="Enero",H$3="Abril",H$3="Julio",H$3="Octubre"),SUM($G58:G58)-SUM($G63:G63),0))&lt;0,0,(IF(G50=0,0,IF(OR(H$3="Enero",H$3="Abril",H$3="Julio",H$3="Octubre"),SUM($G58:G58)-SUM($G63:G63),0))))</f>
        <v>0</v>
      </c>
      <c r="I63" s="544">
        <f>IF(IF(H50=0,0,IF(OR(I$3="Enero",I$3="Abril",I$3="Julio",I$3="Octubre"),SUM($G58:H58)-SUM($G63:H63),0))&lt;0,0,(IF(H50=0,0,IF(OR(I$3="Enero",I$3="Abril",I$3="Julio",I$3="Octubre"),SUM($G58:H58)-SUM($G63:H63),0))))</f>
        <v>0</v>
      </c>
      <c r="J63" s="544">
        <f ca="1">IF(IF(I50=0,0,IF(OR(J$3="Enero",J$3="Abril",J$3="Julio",J$3="Octubre"),SUM($G58:I58)-SUM($G63:I63),0))&lt;0,0,(IF(I50=0,0,IF(OR(J$3="Enero",J$3="Abril",J$3="Julio",J$3="Octubre"),SUM($G58:I58)-SUM($G63:I63),0))))</f>
        <v>0</v>
      </c>
      <c r="K63" s="544">
        <f>IF(IF(J50=0,0,IF(OR(K$3="Enero",K$3="Abril",K$3="Julio",K$3="Octubre"),SUM($G58:J58)-SUM($G63:J63),0))&lt;0,0,(IF(J50=0,0,IF(OR(K$3="Enero",K$3="Abril",K$3="Julio",K$3="Octubre"),SUM($G58:J58)-SUM($G63:J63),0))))</f>
        <v>0</v>
      </c>
      <c r="L63" s="544">
        <f>IF(IF(K50=0,0,IF(OR(L$3="Enero",L$3="Abril",L$3="Julio",L$3="Octubre"),SUM($G58:K58)-SUM($G63:K63),0))&lt;0,0,(IF(K50=0,0,IF(OR(L$3="Enero",L$3="Abril",L$3="Julio",L$3="Octubre"),SUM($G58:K58)-SUM($G63:K63),0))))</f>
        <v>0</v>
      </c>
      <c r="M63" s="544">
        <f ca="1">IF(IF(L50=0,0,IF(OR(M$3="Enero",M$3="Abril",M$3="Julio",M$3="Octubre"),SUM($G58:L58)-SUM($G63:L63),0))&lt;0,0,(IF(L50=0,0,IF(OR(M$3="Enero",M$3="Abril",M$3="Julio",M$3="Octubre"),SUM($G58:L58)-SUM($G63:L63),0))))</f>
        <v>0</v>
      </c>
      <c r="N63" s="544">
        <f>IF(IF(M50=0,0,IF(OR(N$3="Enero",N$3="Abril",N$3="Julio",N$3="Octubre"),SUM($G58:M58)-SUM($G63:M63),0))&lt;0,0,(IF(M50=0,0,IF(OR(N$3="Enero",N$3="Abril",N$3="Julio",N$3="Octubre"),SUM($G58:M58)-SUM($G63:M63),0))))</f>
        <v>0</v>
      </c>
      <c r="O63" s="544">
        <f>IF(IF(N50=0,0,IF(OR(O$3="Enero",O$3="Abril",O$3="Julio",O$3="Octubre"),SUM($G58:N58)-SUM($G63:N63),0))&lt;0,0,(IF(N50=0,0,IF(OR(O$3="Enero",O$3="Abril",O$3="Julio",O$3="Octubre"),SUM($G58:N58)-SUM($G63:N63),0))))</f>
        <v>0</v>
      </c>
      <c r="P63" s="544">
        <f ca="1">IF(IF(O50=0,0,IF(OR(P$3="Enero",P$3="Abril",P$3="Julio",P$3="Octubre"),SUM($G58:O58)-SUM($G63:O63),0))&lt;0,0,(IF(O50=0,0,IF(OR(P$3="Enero",P$3="Abril",P$3="Julio",P$3="Octubre"),SUM($G58:O58)-SUM($G63:O63),0))))</f>
        <v>0</v>
      </c>
      <c r="Q63" s="544">
        <f>IF(IF(P50=0,0,IF(OR(Q$3="Enero",Q$3="Abril",Q$3="Julio",Q$3="Octubre"),SUM($G58:P58)-SUM($G63:P63),0))&lt;0,0,(IF(P50=0,0,IF(OR(Q$3="Enero",Q$3="Abril",Q$3="Julio",Q$3="Octubre"),SUM($G58:P58)-SUM($G63:P63),0))))</f>
        <v>0</v>
      </c>
      <c r="R63" s="544">
        <f>IF(IF(Q50=0,0,IF(OR(R$3="Enero",R$3="Abril",R$3="Julio",R$3="Octubre"),SUM($G58:Q58)-SUM($G63:Q63),0))&lt;0,0,(IF(Q50=0,0,IF(OR(R$3="Enero",R$3="Abril",R$3="Julio",R$3="Octubre"),SUM($G58:Q58)-SUM($G63:Q63),0))))</f>
        <v>0</v>
      </c>
      <c r="S63" s="544">
        <f ca="1">IF(IF(R50=0,0,IF(OR(S$3="Enero",S$3="Abril",S$3="Julio",S$3="Octubre"),SUM($G58:R58)-SUM($G63:R63),0))&lt;0,0,(IF(R50=0,0,IF(OR(S$3="Enero",S$3="Abril",S$3="Julio",S$3="Octubre"),SUM($G58:R58)-SUM($G63:R63),0))))</f>
        <v>0</v>
      </c>
      <c r="T63" s="544">
        <f>IF(IF(S50=0,0,IF(OR(T$3="Enero",T$3="Abril",T$3="Julio",T$3="Octubre"),SUM($G58:S58)-SUM($G63:S63),0))&lt;0,0,(IF(S50=0,0,IF(OR(T$3="Enero",T$3="Abril",T$3="Julio",T$3="Octubre"),SUM($G58:S58)-SUM($G63:S63),0))))</f>
        <v>0</v>
      </c>
      <c r="U63" s="544">
        <f>IF(IF(T50=0,0,IF(OR(U$3="Enero",U$3="Abril",U$3="Julio",U$3="Octubre"),SUM($G58:T58)-SUM($G63:T63),0))&lt;0,0,(IF(T50=0,0,IF(OR(U$3="Enero",U$3="Abril",U$3="Julio",U$3="Octubre"),SUM($G58:T58)-SUM($G63:T63),0))))</f>
        <v>0</v>
      </c>
      <c r="V63" s="544">
        <f>IF(IF(U50=0,0,IF(OR(V$3="Enero",V$3="Abril",V$3="Julio",V$3="Octubre"),SUM($G58:U58)-SUM($G63:U63),0))&lt;0,0,(IF(U50=0,0,IF(OR(V$3="Enero",V$3="Abril",V$3="Julio",V$3="Octubre"),SUM($G58:U58)-SUM($G63:U63),0))))</f>
        <v>0</v>
      </c>
      <c r="W63" s="544">
        <f>IF(IF(V50=0,0,IF(OR(W$3="Enero",W$3="Abril",W$3="Julio",W$3="Octubre"),SUM($G58:V58)-SUM($G63:V63),0))&lt;0,0,(IF(V50=0,0,IF(OR(W$3="Enero",W$3="Abril",W$3="Julio",W$3="Octubre"),SUM($G58:V58)-SUM($G63:V63),0))))</f>
        <v>0</v>
      </c>
      <c r="X63" s="544">
        <f>IF(IF(W50=0,0,IF(OR(X$3="Enero",X$3="Abril",X$3="Julio",X$3="Octubre"),SUM($G58:W58)-SUM($G63:W63),0))&lt;0,0,(IF(W50=0,0,IF(OR(X$3="Enero",X$3="Abril",X$3="Julio",X$3="Octubre"),SUM($G58:W58)-SUM($G63:W63),0))))</f>
        <v>0</v>
      </c>
      <c r="Y63" s="544">
        <f>IF(IF(X50=0,0,IF(OR(Y$3="Enero",Y$3="Abril",Y$3="Julio",Y$3="Octubre"),SUM($G58:X58)-SUM($G63:X63),0))&lt;0,0,(IF(X50=0,0,IF(OR(Y$3="Enero",Y$3="Abril",Y$3="Julio",Y$3="Octubre"),SUM($G58:X58)-SUM($G63:X63),0))))</f>
        <v>0</v>
      </c>
      <c r="Z63" s="544">
        <f>IF(IF(Y50=0,0,IF(OR(Z$3="Enero",Z$3="Abril",Z$3="Julio",Z$3="Octubre"),SUM($G58:Y58)-SUM($G63:Y63),0))&lt;0,0,(IF(Y50=0,0,IF(OR(Z$3="Enero",Z$3="Abril",Z$3="Julio",Z$3="Octubre"),SUM($G58:Y58)-SUM($G63:Y63),0))))</f>
        <v>0</v>
      </c>
      <c r="AA63" s="544">
        <f>IF(IF(Z50=0,0,IF(OR(AA$3="Enero",AA$3="Abril",AA$3="Julio",AA$3="Octubre"),SUM($G58:Z58)-SUM($G63:Z63),0))&lt;0,0,(IF(Z50=0,0,IF(OR(AA$3="Enero",AA$3="Abril",AA$3="Julio",AA$3="Octubre"),SUM($G58:Z58)-SUM($G63:Z63),0))))</f>
        <v>0</v>
      </c>
      <c r="AB63" s="544">
        <f>IF(IF(AA50=0,0,IF(OR(AB$3="Enero",AB$3="Abril",AB$3="Julio",AB$3="Octubre"),SUM($G58:AA58)-SUM($G63:AA63),0))&lt;0,0,(IF(AA50=0,0,IF(OR(AB$3="Enero",AB$3="Abril",AB$3="Julio",AB$3="Octubre"),SUM($G58:AA58)-SUM($G63:AA63),0))))</f>
        <v>0</v>
      </c>
      <c r="AC63" s="544">
        <f>IF(IF(AB50=0,0,IF(OR(AC$3="Enero",AC$3="Abril",AC$3="Julio",AC$3="Octubre"),SUM($G58:AB58)-SUM($G63:AB63),0))&lt;0,0,(IF(AB50=0,0,IF(OR(AC$3="Enero",AC$3="Abril",AC$3="Julio",AC$3="Octubre"),SUM($G58:AB58)-SUM($G63:AB63),0))))</f>
        <v>0</v>
      </c>
      <c r="AD63" s="544">
        <f>IF(IF(AC50=0,0,IF(OR(AD$3="Enero",AD$3="Abril",AD$3="Julio",AD$3="Octubre"),SUM($G58:AC58)-SUM($G63:AC63),0))&lt;0,0,(IF(AC50=0,0,IF(OR(AD$3="Enero",AD$3="Abril",AD$3="Julio",AD$3="Octubre"),SUM($G58:AC58)-SUM($G63:AC63),0))))</f>
        <v>0</v>
      </c>
      <c r="AE63" s="544">
        <f>IF(IF(AD50=0,0,IF(OR(AE$3="Enero",AE$3="Abril",AE$3="Julio",AE$3="Octubre"),SUM($G58:AD58)-SUM($G63:AD63),0))&lt;0,0,(IF(AD50=0,0,IF(OR(AE$3="Enero",AE$3="Abril",AE$3="Julio",AE$3="Octubre"),SUM($G58:AD58)-SUM($G63:AD63),0))))</f>
        <v>0</v>
      </c>
      <c r="AF63" s="544">
        <f>IF(IF(AE50=0,0,IF(OR(AF$3="Enero",AF$3="Abril",AF$3="Julio",AF$3="Octubre"),SUM($G58:AE58)-SUM($G63:AE63),0))&lt;0,0,(IF(AE50=0,0,IF(OR(AF$3="Enero",AF$3="Abril",AF$3="Julio",AF$3="Octubre"),SUM($G58:AE58)-SUM($G63:AE63),0))))</f>
        <v>0</v>
      </c>
      <c r="AG63" s="544">
        <f>IF(IF(AF50=0,0,IF(OR(AG$3="Enero",AG$3="Abril",AG$3="Julio",AG$3="Octubre"),SUM($G58:AF58)-SUM($G63:AF63),0))&lt;0,0,(IF(AF50=0,0,IF(OR(AG$3="Enero",AG$3="Abril",AG$3="Julio",AG$3="Octubre"),SUM($G58:AF58)-SUM($G63:AF63),0))))</f>
        <v>0</v>
      </c>
      <c r="AH63" s="544">
        <f>IF(IF(AG50=0,0,IF(OR(AH$3="Enero",AH$3="Abril",AH$3="Julio",AH$3="Octubre"),SUM($G58:AG58)-SUM($G63:AG63),0))&lt;0,0,(IF(AG50=0,0,IF(OR(AH$3="Enero",AH$3="Abril",AH$3="Julio",AH$3="Octubre"),SUM($G58:AG58)-SUM($G63:AG63),0))))</f>
        <v>0</v>
      </c>
      <c r="AI63" s="544">
        <f>IF(IF(AH50=0,0,IF(OR(AI$3="Enero",AI$3="Abril",AI$3="Julio",AI$3="Octubre"),SUM($G58:AH58)-SUM($G63:AH63),0))&lt;0,0,(IF(AH50=0,0,IF(OR(AI$3="Enero",AI$3="Abril",AI$3="Julio",AI$3="Octubre"),SUM($G58:AH58)-SUM($G63:AH63),0))))</f>
        <v>0</v>
      </c>
      <c r="AJ63" s="544">
        <f>IF(IF(AI50=0,0,IF(OR(AJ$3="Enero",AJ$3="Abril",AJ$3="Julio",AJ$3="Octubre"),SUM($G58:AI58)-SUM($G63:AI63),0))&lt;0,0,(IF(AI50=0,0,IF(OR(AJ$3="Enero",AJ$3="Abril",AJ$3="Julio",AJ$3="Octubre"),SUM($G58:AI58)-SUM($G63:AI63),0))))</f>
        <v>0</v>
      </c>
      <c r="AK63" s="544">
        <f>IF(IF(AJ50=0,0,IF(OR(AK$3="Enero",AK$3="Abril",AK$3="Julio",AK$3="Octubre"),SUM($G58:AJ58)-SUM($G63:AJ63),0))&lt;0,0,(IF(AJ50=0,0,IF(OR(AK$3="Enero",AK$3="Abril",AK$3="Julio",AK$3="Octubre"),SUM($G58:AJ58)-SUM($G63:AJ63),0))))</f>
        <v>0</v>
      </c>
      <c r="AL63" s="544">
        <f>IF(IF(AK50=0,0,IF(OR(AL$3="Enero",AL$3="Abril",AL$3="Julio",AL$3="Octubre"),SUM($G58:AK58)-SUM($G63:AK63),0))&lt;0,0,(IF(AK50=0,0,IF(OR(AL$3="Enero",AL$3="Abril",AL$3="Julio",AL$3="Octubre"),SUM($G58:AK58)-SUM($G63:AK63),0))))</f>
        <v>0</v>
      </c>
      <c r="AM63" s="544">
        <f>IF(IF(AL50=0,0,IF(OR(AM$3="Enero",AM$3="Abril",AM$3="Julio",AM$3="Octubre"),SUM($G58:AL58)-SUM($G63:AL63),0))&lt;0,0,(IF(AL50=0,0,IF(OR(AM$3="Enero",AM$3="Abril",AM$3="Julio",AM$3="Octubre"),SUM($G58:AL58)-SUM($G63:AL63),0))))</f>
        <v>0</v>
      </c>
      <c r="AN63" s="544">
        <f>IF(IF(AM50=0,0,IF(OR(AN$3="Enero",AN$3="Abril",AN$3="Julio",AN$3="Octubre"),SUM($G58:AM58)-SUM($G63:AM63),0))&lt;0,0,(IF(AM50=0,0,IF(OR(AN$3="Enero",AN$3="Abril",AN$3="Julio",AN$3="Octubre"),SUM($G58:AM58)-SUM($G63:AM63),0))))</f>
        <v>0</v>
      </c>
      <c r="AO63" s="544">
        <f>IF(IF(AN50=0,0,IF(OR(AO$3="Enero",AO$3="Abril",AO$3="Julio",AO$3="Octubre"),SUM($G58:AN58)-SUM($G63:AN63),0))&lt;0,0,(IF(AN50=0,0,IF(OR(AO$3="Enero",AO$3="Abril",AO$3="Julio",AO$3="Octubre"),SUM($G58:AN58)-SUM($G63:AN63),0))))</f>
        <v>0</v>
      </c>
      <c r="AP63" s="544">
        <f>IF(IF(AO50=0,0,IF(OR(AP$3="Enero",AP$3="Abril",AP$3="Julio",AP$3="Octubre"),SUM($G58:AO58)-SUM($G63:AO63),0))&lt;0,0,(IF(AO50=0,0,IF(OR(AP$3="Enero",AP$3="Abril",AP$3="Julio",AP$3="Octubre"),SUM($G58:AO58)-SUM($G63:AO63),0))))</f>
        <v>0</v>
      </c>
      <c r="AQ63" s="544">
        <f>IF(IF(AP50=0,0,IF(OR(AQ$3="Enero",AQ$3="Abril",AQ$3="Julio",AQ$3="Octubre"),SUM($G58:AP58)-SUM($G63:AP63),0))&lt;0,0,(IF(AP50=0,0,IF(OR(AQ$3="Enero",AQ$3="Abril",AQ$3="Julio",AQ$3="Octubre"),SUM($G58:AP58)-SUM($G63:AP63),0))))</f>
        <v>0</v>
      </c>
      <c r="AR63" s="544">
        <f>IF(IF(AQ50=0,0,IF(OR(AR$3="Enero",AR$3="Abril",AR$3="Julio",AR$3="Octubre"),SUM($G58:AQ58)-SUM($G63:AQ63),0))&lt;0,0,(IF(AQ50=0,0,IF(OR(AR$3="Enero",AR$3="Abril",AR$3="Julio",AR$3="Octubre"),SUM($G58:AQ58)-SUM($G63:AQ63),0))))</f>
        <v>0</v>
      </c>
      <c r="AS63" s="544">
        <f>IF(IF(AR50=0,0,IF(OR(AS$3="Enero",AS$3="Abril",AS$3="Julio",AS$3="Octubre"),SUM($G58:AR58)-SUM($G63:AR63),0))&lt;0,0,(IF(AR50=0,0,IF(OR(AS$3="Enero",AS$3="Abril",AS$3="Julio",AS$3="Octubre"),SUM($G58:AR58)-SUM($G63:AR63),0))))</f>
        <v>0</v>
      </c>
    </row>
    <row r="64" spans="1:45">
      <c r="B64" s="543">
        <f>B59</f>
        <v>44563</v>
      </c>
      <c r="G64" s="544"/>
      <c r="H64" s="544">
        <f>IF(IF(G52=0,0,IF(OR(H$3="Enero",H$3="Abril",H$3="Julio",H$3="Octubre"),SUM($G59:G59)-SUM($G64:G64),0))&lt;0,0,(IF(G52=0,0,IF(OR(H$3="Enero",H$3="Abril",H$3="Julio",H$3="Octubre"),SUM($G59:G59)-SUM($G64:G64),0))))</f>
        <v>0</v>
      </c>
      <c r="I64" s="544">
        <f>IF(IF(H52=0,0,IF(OR(I$3="Enero",I$3="Abril",I$3="Julio",I$3="Octubre"),SUM($G59:H59)-SUM($G64:H64),0))&lt;0,0,(IF(H52=0,0,IF(OR(I$3="Enero",I$3="Abril",I$3="Julio",I$3="Octubre"),SUM($G59:H59)-SUM($G64:H64),0))))</f>
        <v>0</v>
      </c>
      <c r="J64" s="544">
        <f>IF(IF(I52=0,0,IF(OR(J$3="Enero",J$3="Abril",J$3="Julio",J$3="Octubre"),SUM($G59:I59)-SUM($G64:I64),0))&lt;0,0,(IF(I52=0,0,IF(OR(J$3="Enero",J$3="Abril",J$3="Julio",J$3="Octubre"),SUM($G59:I59)-SUM($G64:I64),0))))</f>
        <v>0</v>
      </c>
      <c r="K64" s="544">
        <f>IF(IF(J52=0,0,IF(OR(K$3="Enero",K$3="Abril",K$3="Julio",K$3="Octubre"),SUM($G59:J59)-SUM($G64:J64),0))&lt;0,0,(IF(J52=0,0,IF(OR(K$3="Enero",K$3="Abril",K$3="Julio",K$3="Octubre"),SUM($G59:J59)-SUM($G64:J64),0))))</f>
        <v>0</v>
      </c>
      <c r="L64" s="544">
        <f>IF(IF(K52=0,0,IF(OR(L$3="Enero",L$3="Abril",L$3="Julio",L$3="Octubre"),SUM($G59:K59)-SUM($G64:K64),0))&lt;0,0,(IF(K52=0,0,IF(OR(L$3="Enero",L$3="Abril",L$3="Julio",L$3="Octubre"),SUM($G59:K59)-SUM($G64:K64),0))))</f>
        <v>0</v>
      </c>
      <c r="M64" s="544">
        <f>IF(IF(L52=0,0,IF(OR(M$3="Enero",M$3="Abril",M$3="Julio",M$3="Octubre"),SUM($G59:L59)-SUM($G64:L64),0))&lt;0,0,(IF(L52=0,0,IF(OR(M$3="Enero",M$3="Abril",M$3="Julio",M$3="Octubre"),SUM($G59:L59)-SUM($G64:L64),0))))</f>
        <v>0</v>
      </c>
      <c r="N64" s="544">
        <f>IF(IF(M52=0,0,IF(OR(N$3="Enero",N$3="Abril",N$3="Julio",N$3="Octubre"),SUM($G59:M59)-SUM($G64:M64),0))&lt;0,0,(IF(M52=0,0,IF(OR(N$3="Enero",N$3="Abril",N$3="Julio",N$3="Octubre"),SUM($G59:M59)-SUM($G64:M64),0))))</f>
        <v>0</v>
      </c>
      <c r="O64" s="544">
        <f>IF(IF(N52=0,0,IF(OR(O$3="Enero",O$3="Abril",O$3="Julio",O$3="Octubre"),SUM($G59:N59)-SUM($G64:N64),0))&lt;0,0,(IF(N52=0,0,IF(OR(O$3="Enero",O$3="Abril",O$3="Julio",O$3="Octubre"),SUM($G59:N59)-SUM($G64:N64),0))))</f>
        <v>0</v>
      </c>
      <c r="P64" s="544">
        <f>IF(IF(O52=0,0,IF(OR(P$3="Enero",P$3="Abril",P$3="Julio",P$3="Octubre"),SUM($G59:O59)-SUM($G64:O64),0))&lt;0,0,(IF(O52=0,0,IF(OR(P$3="Enero",P$3="Abril",P$3="Julio",P$3="Octubre"),SUM($G59:O59)-SUM($G64:O64),0))))</f>
        <v>0</v>
      </c>
      <c r="Q64" s="544">
        <f>IF(IF(P52=0,0,IF(OR(Q$3="Enero",Q$3="Abril",Q$3="Julio",Q$3="Octubre"),SUM($G59:P59)-SUM($G64:P64),0))&lt;0,0,(IF(P52=0,0,IF(OR(Q$3="Enero",Q$3="Abril",Q$3="Julio",Q$3="Octubre"),SUM($G59:P59)-SUM($G64:P64),0))))</f>
        <v>0</v>
      </c>
      <c r="R64" s="544">
        <f>IF(IF(Q52=0,0,IF(OR(R$3="Enero",R$3="Abril",R$3="Julio",R$3="Octubre"),SUM($G59:Q59)-SUM($G64:Q64),0))&lt;0,0,(IF(Q52=0,0,IF(OR(R$3="Enero",R$3="Abril",R$3="Julio",R$3="Octubre"),SUM($G59:Q59)-SUM($G64:Q64),0))))</f>
        <v>0</v>
      </c>
      <c r="S64" s="544">
        <f>IF(IF(R52=0,0,IF(OR(S$3="Enero",S$3="Abril",S$3="Julio",S$3="Octubre"),SUM($G59:R59)-SUM($G64:R64),0))&lt;0,0,(IF(R52=0,0,IF(OR(S$3="Enero",S$3="Abril",S$3="Julio",S$3="Octubre"),SUM($G59:R59)-SUM($G64:R64),0))))</f>
        <v>0</v>
      </c>
      <c r="T64" s="544">
        <f>IF(IF(S52=0,0,IF(OR(T$3="Enero",T$3="Abril",T$3="Julio",T$3="Octubre"),SUM($G59:S59)-SUM($G64:S64),0))&lt;0,0,(IF(S52=0,0,IF(OR(T$3="Enero",T$3="Abril",T$3="Julio",T$3="Octubre"),SUM($G59:S59)-SUM($G64:S64),0))))</f>
        <v>0</v>
      </c>
      <c r="U64" s="544">
        <f>IF(IF(T52=0,0,IF(OR(U$3="Enero",U$3="Abril",U$3="Julio",U$3="Octubre"),SUM($G59:T59)-SUM($G64:T64),0))&lt;0,0,(IF(T52=0,0,IF(OR(U$3="Enero",U$3="Abril",U$3="Julio",U$3="Octubre"),SUM($G59:T59)-SUM($G64:T64),0))))</f>
        <v>0</v>
      </c>
      <c r="V64" s="544">
        <f ca="1">IF(IF(U52=0,0,IF(OR(V$3="Enero",V$3="Abril",V$3="Julio",V$3="Octubre"),SUM($G59:U59)-SUM($G64:U64),0))&lt;0,0,(IF(U52=0,0,IF(OR(V$3="Enero",V$3="Abril",V$3="Julio",V$3="Octubre"),SUM($G59:U59)-SUM($G64:U64),0))))</f>
        <v>0</v>
      </c>
      <c r="W64" s="544">
        <f>IF(IF(V52=0,0,IF(OR(W$3="Enero",W$3="Abril",W$3="Julio",W$3="Octubre"),SUM($G59:V59)-SUM($G64:V64),0))&lt;0,0,(IF(V52=0,0,IF(OR(W$3="Enero",W$3="Abril",W$3="Julio",W$3="Octubre"),SUM($G59:V59)-SUM($G64:V64),0))))</f>
        <v>0</v>
      </c>
      <c r="X64" s="544">
        <f>IF(IF(W52=0,0,IF(OR(X$3="Enero",X$3="Abril",X$3="Julio",X$3="Octubre"),SUM($G59:W59)-SUM($G64:W64),0))&lt;0,0,(IF(W52=0,0,IF(OR(X$3="Enero",X$3="Abril",X$3="Julio",X$3="Octubre"),SUM($G59:W59)-SUM($G64:W64),0))))</f>
        <v>0</v>
      </c>
      <c r="Y64" s="544">
        <f ca="1">IF(IF(X52=0,0,IF(OR(Y$3="Enero",Y$3="Abril",Y$3="Julio",Y$3="Octubre"),SUM($G59:X59)-SUM($G64:X64),0))&lt;0,0,(IF(X52=0,0,IF(OR(Y$3="Enero",Y$3="Abril",Y$3="Julio",Y$3="Octubre"),SUM($G59:X59)-SUM($G64:X64),0))))</f>
        <v>0</v>
      </c>
      <c r="Z64" s="544">
        <f>IF(IF(Y52=0,0,IF(OR(Z$3="Enero",Z$3="Abril",Z$3="Julio",Z$3="Octubre"),SUM($G59:Y59)-SUM($G64:Y64),0))&lt;0,0,(IF(Y52=0,0,IF(OR(Z$3="Enero",Z$3="Abril",Z$3="Julio",Z$3="Octubre"),SUM($G59:Y59)-SUM($G64:Y64),0))))</f>
        <v>0</v>
      </c>
      <c r="AA64" s="544">
        <f>IF(IF(Z52=0,0,IF(OR(AA$3="Enero",AA$3="Abril",AA$3="Julio",AA$3="Octubre"),SUM($G59:Z59)-SUM($G64:Z64),0))&lt;0,0,(IF(Z52=0,0,IF(OR(AA$3="Enero",AA$3="Abril",AA$3="Julio",AA$3="Octubre"),SUM($G59:Z59)-SUM($G64:Z64),0))))</f>
        <v>0</v>
      </c>
      <c r="AB64" s="544">
        <f ca="1">IF(IF(AA52=0,0,IF(OR(AB$3="Enero",AB$3="Abril",AB$3="Julio",AB$3="Octubre"),SUM($G59:AA59)-SUM($G64:AA64),0))&lt;0,0,(IF(AA52=0,0,IF(OR(AB$3="Enero",AB$3="Abril",AB$3="Julio",AB$3="Octubre"),SUM($G59:AA59)-SUM($G64:AA64),0))))</f>
        <v>0</v>
      </c>
      <c r="AC64" s="544">
        <f>IF(IF(AB52=0,0,IF(OR(AC$3="Enero",AC$3="Abril",AC$3="Julio",AC$3="Octubre"),SUM($G59:AB59)-SUM($G64:AB64),0))&lt;0,0,(IF(AB52=0,0,IF(OR(AC$3="Enero",AC$3="Abril",AC$3="Julio",AC$3="Octubre"),SUM($G59:AB59)-SUM($G64:AB64),0))))</f>
        <v>0</v>
      </c>
      <c r="AD64" s="544">
        <f>IF(IF(AC52=0,0,IF(OR(AD$3="Enero",AD$3="Abril",AD$3="Julio",AD$3="Octubre"),SUM($G59:AC59)-SUM($G64:AC64),0))&lt;0,0,(IF(AC52=0,0,IF(OR(AD$3="Enero",AD$3="Abril",AD$3="Julio",AD$3="Octubre"),SUM($G59:AC59)-SUM($G64:AC64),0))))</f>
        <v>0</v>
      </c>
      <c r="AE64" s="544">
        <f ca="1">IF(IF(AD52=0,0,IF(OR(AE$3="Enero",AE$3="Abril",AE$3="Julio",AE$3="Octubre"),SUM($G59:AD59)-SUM($G64:AD64),0))&lt;0,0,(IF(AD52=0,0,IF(OR(AE$3="Enero",AE$3="Abril",AE$3="Julio",AE$3="Octubre"),SUM($G59:AD59)-SUM($G64:AD64),0))))</f>
        <v>0</v>
      </c>
      <c r="AF64" s="544">
        <f>IF(IF(AE52=0,0,IF(OR(AF$3="Enero",AF$3="Abril",AF$3="Julio",AF$3="Octubre"),SUM($G59:AE59)-SUM($G64:AE64),0))&lt;0,0,(IF(AE52=0,0,IF(OR(AF$3="Enero",AF$3="Abril",AF$3="Julio",AF$3="Octubre"),SUM($G59:AE59)-SUM($G64:AE64),0))))</f>
        <v>0</v>
      </c>
      <c r="AG64" s="544">
        <f>IF(IF(AF52=0,0,IF(OR(AG$3="Enero",AG$3="Abril",AG$3="Julio",AG$3="Octubre"),SUM($G59:AF59)-SUM($G64:AF64),0))&lt;0,0,(IF(AF52=0,0,IF(OR(AG$3="Enero",AG$3="Abril",AG$3="Julio",AG$3="Octubre"),SUM($G59:AF59)-SUM($G64:AF64),0))))</f>
        <v>0</v>
      </c>
      <c r="AH64" s="544">
        <f>IF(IF(AG52=0,0,IF(OR(AH$3="Enero",AH$3="Abril",AH$3="Julio",AH$3="Octubre"),SUM($G59:AG59)-SUM($G64:AG64),0))&lt;0,0,(IF(AG52=0,0,IF(OR(AH$3="Enero",AH$3="Abril",AH$3="Julio",AH$3="Octubre"),SUM($G59:AG59)-SUM($G64:AG64),0))))</f>
        <v>0</v>
      </c>
      <c r="AI64" s="544">
        <f>IF(IF(AH52=0,0,IF(OR(AI$3="Enero",AI$3="Abril",AI$3="Julio",AI$3="Octubre"),SUM($G59:AH59)-SUM($G64:AH64),0))&lt;0,0,(IF(AH52=0,0,IF(OR(AI$3="Enero",AI$3="Abril",AI$3="Julio",AI$3="Octubre"),SUM($G59:AH59)-SUM($G64:AH64),0))))</f>
        <v>0</v>
      </c>
      <c r="AJ64" s="544">
        <f>IF(IF(AI52=0,0,IF(OR(AJ$3="Enero",AJ$3="Abril",AJ$3="Julio",AJ$3="Octubre"),SUM($G59:AI59)-SUM($G64:AI64),0))&lt;0,0,(IF(AI52=0,0,IF(OR(AJ$3="Enero",AJ$3="Abril",AJ$3="Julio",AJ$3="Octubre"),SUM($G59:AI59)-SUM($G64:AI64),0))))</f>
        <v>0</v>
      </c>
      <c r="AK64" s="544">
        <f>IF(IF(AJ52=0,0,IF(OR(AK$3="Enero",AK$3="Abril",AK$3="Julio",AK$3="Octubre"),SUM($G59:AJ59)-SUM($G64:AJ64),0))&lt;0,0,(IF(AJ52=0,0,IF(OR(AK$3="Enero",AK$3="Abril",AK$3="Julio",AK$3="Octubre"),SUM($G59:AJ59)-SUM($G64:AJ64),0))))</f>
        <v>0</v>
      </c>
      <c r="AL64" s="544">
        <f>IF(IF(AK52=0,0,IF(OR(AL$3="Enero",AL$3="Abril",AL$3="Julio",AL$3="Octubre"),SUM($G59:AK59)-SUM($G64:AK64),0))&lt;0,0,(IF(AK52=0,0,IF(OR(AL$3="Enero",AL$3="Abril",AL$3="Julio",AL$3="Octubre"),SUM($G59:AK59)-SUM($G64:AK64),0))))</f>
        <v>0</v>
      </c>
      <c r="AM64" s="544">
        <f>IF(IF(AL52=0,0,IF(OR(AM$3="Enero",AM$3="Abril",AM$3="Julio",AM$3="Octubre"),SUM($G59:AL59)-SUM($G64:AL64),0))&lt;0,0,(IF(AL52=0,0,IF(OR(AM$3="Enero",AM$3="Abril",AM$3="Julio",AM$3="Octubre"),SUM($G59:AL59)-SUM($G64:AL64),0))))</f>
        <v>0</v>
      </c>
      <c r="AN64" s="544">
        <f>IF(IF(AM52=0,0,IF(OR(AN$3="Enero",AN$3="Abril",AN$3="Julio",AN$3="Octubre"),SUM($G59:AM59)-SUM($G64:AM64),0))&lt;0,0,(IF(AM52=0,0,IF(OR(AN$3="Enero",AN$3="Abril",AN$3="Julio",AN$3="Octubre"),SUM($G59:AM59)-SUM($G64:AM64),0))))</f>
        <v>0</v>
      </c>
      <c r="AO64" s="544">
        <f>IF(IF(AN52=0,0,IF(OR(AO$3="Enero",AO$3="Abril",AO$3="Julio",AO$3="Octubre"),SUM($G59:AN59)-SUM($G64:AN64),0))&lt;0,0,(IF(AN52=0,0,IF(OR(AO$3="Enero",AO$3="Abril",AO$3="Julio",AO$3="Octubre"),SUM($G59:AN59)-SUM($G64:AN64),0))))</f>
        <v>0</v>
      </c>
      <c r="AP64" s="544">
        <f>IF(IF(AO52=0,0,IF(OR(AP$3="Enero",AP$3="Abril",AP$3="Julio",AP$3="Octubre"),SUM($G59:AO59)-SUM($G64:AO64),0))&lt;0,0,(IF(AO52=0,0,IF(OR(AP$3="Enero",AP$3="Abril",AP$3="Julio",AP$3="Octubre"),SUM($G59:AO59)-SUM($G64:AO64),0))))</f>
        <v>0</v>
      </c>
      <c r="AQ64" s="544">
        <f>IF(IF(AP52=0,0,IF(OR(AQ$3="Enero",AQ$3="Abril",AQ$3="Julio",AQ$3="Octubre"),SUM($G59:AP59)-SUM($G64:AP64),0))&lt;0,0,(IF(AP52=0,0,IF(OR(AQ$3="Enero",AQ$3="Abril",AQ$3="Julio",AQ$3="Octubre"),SUM($G59:AP59)-SUM($G64:AP64),0))))</f>
        <v>0</v>
      </c>
      <c r="AR64" s="544">
        <f>IF(IF(AQ52=0,0,IF(OR(AR$3="Enero",AR$3="Abril",AR$3="Julio",AR$3="Octubre"),SUM($G59:AQ59)-SUM($G64:AQ64),0))&lt;0,0,(IF(AQ52=0,0,IF(OR(AR$3="Enero",AR$3="Abril",AR$3="Julio",AR$3="Octubre"),SUM($G59:AQ59)-SUM($G64:AQ64),0))))</f>
        <v>0</v>
      </c>
      <c r="AS64" s="544">
        <f>IF(IF(AR52=0,0,IF(OR(AS$3="Enero",AS$3="Abril",AS$3="Julio",AS$3="Octubre"),SUM($G59:AR59)-SUM($G64:AR64),0))&lt;0,0,(IF(AR52=0,0,IF(OR(AS$3="Enero",AS$3="Abril",AS$3="Julio",AS$3="Octubre"),SUM($G59:AR59)-SUM($G64:AR64),0))))</f>
        <v>0</v>
      </c>
    </row>
    <row r="65" spans="1:45">
      <c r="B65" s="543">
        <f>B60</f>
        <v>44929</v>
      </c>
      <c r="G65" s="544"/>
      <c r="H65" s="544">
        <f>IF(IF(G54=0,0,IF(OR(H$3="Enero",H$3="Abril",H$3="Julio",H$3="Octubre"),SUM($G60:G60)-SUM($G65:G65),0))&lt;0,0,(IF(G54=0,0,IF(OR(H$3="Enero",H$3="Abril",H$3="Julio",H$3="Octubre"),SUM($G60:G60)-SUM($G65:G65),0))))</f>
        <v>0</v>
      </c>
      <c r="I65" s="544">
        <f>IF(IF(H54=0,0,IF(OR(I$3="Enero",I$3="Abril",I$3="Julio",I$3="Octubre"),SUM($G60:H60)-SUM($G65:H65),0))&lt;0,0,(IF(H54=0,0,IF(OR(I$3="Enero",I$3="Abril",I$3="Julio",I$3="Octubre"),SUM($G60:H60)-SUM($G65:H65),0))))</f>
        <v>0</v>
      </c>
      <c r="J65" s="544">
        <f>IF(IF(I54=0,0,IF(OR(J$3="Enero",J$3="Abril",J$3="Julio",J$3="Octubre"),SUM($G60:I60)-SUM($G65:I65),0))&lt;0,0,(IF(I54=0,0,IF(OR(J$3="Enero",J$3="Abril",J$3="Julio",J$3="Octubre"),SUM($G60:I60)-SUM($G65:I65),0))))</f>
        <v>0</v>
      </c>
      <c r="K65" s="544">
        <f>IF(IF(J54=0,0,IF(OR(K$3="Enero",K$3="Abril",K$3="Julio",K$3="Octubre"),SUM($G60:J60)-SUM($G65:J65),0))&lt;0,0,(IF(J54=0,0,IF(OR(K$3="Enero",K$3="Abril",K$3="Julio",K$3="Octubre"),SUM($G60:J60)-SUM($G65:J65),0))))</f>
        <v>0</v>
      </c>
      <c r="L65" s="544">
        <f>IF(IF(K54=0,0,IF(OR(L$3="Enero",L$3="Abril",L$3="Julio",L$3="Octubre"),SUM($G60:K60)-SUM($G65:K65),0))&lt;0,0,(IF(K54=0,0,IF(OR(L$3="Enero",L$3="Abril",L$3="Julio",L$3="Octubre"),SUM($G60:K60)-SUM($G65:K65),0))))</f>
        <v>0</v>
      </c>
      <c r="M65" s="544">
        <f>IF(IF(L54=0,0,IF(OR(M$3="Enero",M$3="Abril",M$3="Julio",M$3="Octubre"),SUM($G60:L60)-SUM($G65:L65),0))&lt;0,0,(IF(L54=0,0,IF(OR(M$3="Enero",M$3="Abril",M$3="Julio",M$3="Octubre"),SUM($G60:L60)-SUM($G65:L65),0))))</f>
        <v>0</v>
      </c>
      <c r="N65" s="544">
        <f>IF(IF(M54=0,0,IF(OR(N$3="Enero",N$3="Abril",N$3="Julio",N$3="Octubre"),SUM($G60:M60)-SUM($G65:M65),0))&lt;0,0,(IF(M54=0,0,IF(OR(N$3="Enero",N$3="Abril",N$3="Julio",N$3="Octubre"),SUM($G60:M60)-SUM($G65:M65),0))))</f>
        <v>0</v>
      </c>
      <c r="O65" s="544">
        <f>IF(IF(N54=0,0,IF(OR(O$3="Enero",O$3="Abril",O$3="Julio",O$3="Octubre"),SUM($G60:N60)-SUM($G65:N65),0))&lt;0,0,(IF(N54=0,0,IF(OR(O$3="Enero",O$3="Abril",O$3="Julio",O$3="Octubre"),SUM($G60:N60)-SUM($G65:N65),0))))</f>
        <v>0</v>
      </c>
      <c r="P65" s="544">
        <f>IF(IF(O54=0,0,IF(OR(P$3="Enero",P$3="Abril",P$3="Julio",P$3="Octubre"),SUM($G60:O60)-SUM($G65:O65),0))&lt;0,0,(IF(O54=0,0,IF(OR(P$3="Enero",P$3="Abril",P$3="Julio",P$3="Octubre"),SUM($G60:O60)-SUM($G65:O65),0))))</f>
        <v>0</v>
      </c>
      <c r="Q65" s="544">
        <f>IF(IF(P54=0,0,IF(OR(Q$3="Enero",Q$3="Abril",Q$3="Julio",Q$3="Octubre"),SUM($G60:P60)-SUM($G65:P65),0))&lt;0,0,(IF(P54=0,0,IF(OR(Q$3="Enero",Q$3="Abril",Q$3="Julio",Q$3="Octubre"),SUM($G60:P60)-SUM($G65:P65),0))))</f>
        <v>0</v>
      </c>
      <c r="R65" s="544">
        <f>IF(IF(Q54=0,0,IF(OR(R$3="Enero",R$3="Abril",R$3="Julio",R$3="Octubre"),SUM($G60:Q60)-SUM($G65:Q65),0))&lt;0,0,(IF(Q54=0,0,IF(OR(R$3="Enero",R$3="Abril",R$3="Julio",R$3="Octubre"),SUM($G60:Q60)-SUM($G65:Q65),0))))</f>
        <v>0</v>
      </c>
      <c r="S65" s="544">
        <f>IF(IF(R54=0,0,IF(OR(S$3="Enero",S$3="Abril",S$3="Julio",S$3="Octubre"),SUM($G60:R60)-SUM($G65:R65),0))&lt;0,0,(IF(R54=0,0,IF(OR(S$3="Enero",S$3="Abril",S$3="Julio",S$3="Octubre"),SUM($G60:R60)-SUM($G65:R65),0))))</f>
        <v>0</v>
      </c>
      <c r="T65" s="544">
        <f>IF(IF(S54=0,0,IF(OR(T$3="Enero",T$3="Abril",T$3="Julio",T$3="Octubre"),SUM($G60:S60)-SUM($G65:S65),0))&lt;0,0,(IF(S54=0,0,IF(OR(T$3="Enero",T$3="Abril",T$3="Julio",T$3="Octubre"),SUM($G60:S60)-SUM($G65:S65),0))))</f>
        <v>0</v>
      </c>
      <c r="U65" s="544">
        <f>IF(IF(T54=0,0,IF(OR(U$3="Enero",U$3="Abril",U$3="Julio",U$3="Octubre"),SUM($G60:T60)-SUM($G65:T65),0))&lt;0,0,(IF(T54=0,0,IF(OR(U$3="Enero",U$3="Abril",U$3="Julio",U$3="Octubre"),SUM($G60:T60)-SUM($G65:T65),0))))</f>
        <v>0</v>
      </c>
      <c r="V65" s="544">
        <f>IF(IF(U54=0,0,IF(OR(V$3="Enero",V$3="Abril",V$3="Julio",V$3="Octubre"),SUM($G60:U60)-SUM($G65:U65),0))&lt;0,0,(IF(U54=0,0,IF(OR(V$3="Enero",V$3="Abril",V$3="Julio",V$3="Octubre"),SUM($G60:U60)-SUM($G65:U65),0))))</f>
        <v>0</v>
      </c>
      <c r="W65" s="544">
        <f>IF(IF(V54=0,0,IF(OR(W$3="Enero",W$3="Abril",W$3="Julio",W$3="Octubre"),SUM($G60:V60)-SUM($G65:V65),0))&lt;0,0,(IF(V54=0,0,IF(OR(W$3="Enero",W$3="Abril",W$3="Julio",W$3="Octubre"),SUM($G60:V60)-SUM($G65:V65),0))))</f>
        <v>0</v>
      </c>
      <c r="X65" s="544">
        <f>IF(IF(W54=0,0,IF(OR(X$3="Enero",X$3="Abril",X$3="Julio",X$3="Octubre"),SUM($G60:W60)-SUM($G65:W65),0))&lt;0,0,(IF(W54=0,0,IF(OR(X$3="Enero",X$3="Abril",X$3="Julio",X$3="Octubre"),SUM($G60:W60)-SUM($G65:W65),0))))</f>
        <v>0</v>
      </c>
      <c r="Y65" s="544">
        <f>IF(IF(X54=0,0,IF(OR(Y$3="Enero",Y$3="Abril",Y$3="Julio",Y$3="Octubre"),SUM($G60:X60)-SUM($G65:X65),0))&lt;0,0,(IF(X54=0,0,IF(OR(Y$3="Enero",Y$3="Abril",Y$3="Julio",Y$3="Octubre"),SUM($G60:X60)-SUM($G65:X65),0))))</f>
        <v>0</v>
      </c>
      <c r="Z65" s="544">
        <f>IF(IF(Y54=0,0,IF(OR(Z$3="Enero",Z$3="Abril",Z$3="Julio",Z$3="Octubre"),SUM($G60:Y60)-SUM($G65:Y65),0))&lt;0,0,(IF(Y54=0,0,IF(OR(Z$3="Enero",Z$3="Abril",Z$3="Julio",Z$3="Octubre"),SUM($G60:Y60)-SUM($G65:Y65),0))))</f>
        <v>0</v>
      </c>
      <c r="AA65" s="544">
        <f>IF(IF(Z54=0,0,IF(OR(AA$3="Enero",AA$3="Abril",AA$3="Julio",AA$3="Octubre"),SUM($G60:Z60)-SUM($G65:Z65),0))&lt;0,0,(IF(Z54=0,0,IF(OR(AA$3="Enero",AA$3="Abril",AA$3="Julio",AA$3="Octubre"),SUM($G60:Z60)-SUM($G65:Z65),0))))</f>
        <v>0</v>
      </c>
      <c r="AB65" s="544">
        <f>IF(IF(AA54=0,0,IF(OR(AB$3="Enero",AB$3="Abril",AB$3="Julio",AB$3="Octubre"),SUM($G60:AA60)-SUM($G65:AA65),0))&lt;0,0,(IF(AA54=0,0,IF(OR(AB$3="Enero",AB$3="Abril",AB$3="Julio",AB$3="Octubre"),SUM($G60:AA60)-SUM($G65:AA65),0))))</f>
        <v>0</v>
      </c>
      <c r="AC65" s="544">
        <f>IF(IF(AB54=0,0,IF(OR(AC$3="Enero",AC$3="Abril",AC$3="Julio",AC$3="Octubre"),SUM($G60:AB60)-SUM($G65:AB65),0))&lt;0,0,(IF(AB54=0,0,IF(OR(AC$3="Enero",AC$3="Abril",AC$3="Julio",AC$3="Octubre"),SUM($G60:AB60)-SUM($G65:AB65),0))))</f>
        <v>0</v>
      </c>
      <c r="AD65" s="544">
        <f>IF(IF(AC54=0,0,IF(OR(AD$3="Enero",AD$3="Abril",AD$3="Julio",AD$3="Octubre"),SUM($G60:AC60)-SUM($G65:AC65),0))&lt;0,0,(IF(AC54=0,0,IF(OR(AD$3="Enero",AD$3="Abril",AD$3="Julio",AD$3="Octubre"),SUM($G60:AC60)-SUM($G65:AC65),0))))</f>
        <v>0</v>
      </c>
      <c r="AE65" s="544">
        <f>IF(IF(AD54=0,0,IF(OR(AE$3="Enero",AE$3="Abril",AE$3="Julio",AE$3="Octubre"),SUM($G60:AD60)-SUM($G65:AD65),0))&lt;0,0,(IF(AD54=0,0,IF(OR(AE$3="Enero",AE$3="Abril",AE$3="Julio",AE$3="Octubre"),SUM($G60:AD60)-SUM($G65:AD65),0))))</f>
        <v>0</v>
      </c>
      <c r="AF65" s="544">
        <f>IF(IF(AE54=0,0,IF(OR(AF$3="Enero",AF$3="Abril",AF$3="Julio",AF$3="Octubre"),SUM($G60:AE60)-SUM($G65:AE65),0))&lt;0,0,(IF(AE54=0,0,IF(OR(AF$3="Enero",AF$3="Abril",AF$3="Julio",AF$3="Octubre"),SUM($G60:AE60)-SUM($G65:AE65),0))))</f>
        <v>0</v>
      </c>
      <c r="AG65" s="544">
        <f>IF(IF(AF54=0,0,IF(OR(AG$3="Enero",AG$3="Abril",AG$3="Julio",AG$3="Octubre"),SUM($G60:AF60)-SUM($G65:AF65),0))&lt;0,0,(IF(AF54=0,0,IF(OR(AG$3="Enero",AG$3="Abril",AG$3="Julio",AG$3="Octubre"),SUM($G60:AF60)-SUM($G65:AF65),0))))</f>
        <v>0</v>
      </c>
      <c r="AH65" s="544">
        <f ca="1">IF(IF(AG54=0,0,IF(OR(AH$3="Enero",AH$3="Abril",AH$3="Julio",AH$3="Octubre"),SUM($G60:AG60)-SUM($G65:AG65),0))&lt;0,0,(IF(AG54=0,0,IF(OR(AH$3="Enero",AH$3="Abril",AH$3="Julio",AH$3="Octubre"),SUM($G60:AG60)-SUM($G65:AG65),0))))</f>
        <v>0</v>
      </c>
      <c r="AI65" s="544">
        <f>IF(IF(AH54=0,0,IF(OR(AI$3="Enero",AI$3="Abril",AI$3="Julio",AI$3="Octubre"),SUM($G60:AH60)-SUM($G65:AH65),0))&lt;0,0,(IF(AH54=0,0,IF(OR(AI$3="Enero",AI$3="Abril",AI$3="Julio",AI$3="Octubre"),SUM($G60:AH60)-SUM($G65:AH65),0))))</f>
        <v>0</v>
      </c>
      <c r="AJ65" s="544">
        <f>IF(IF(AI54=0,0,IF(OR(AJ$3="Enero",AJ$3="Abril",AJ$3="Julio",AJ$3="Octubre"),SUM($G60:AI60)-SUM($G65:AI65),0))&lt;0,0,(IF(AI54=0,0,IF(OR(AJ$3="Enero",AJ$3="Abril",AJ$3="Julio",AJ$3="Octubre"),SUM($G60:AI60)-SUM($G65:AI65),0))))</f>
        <v>0</v>
      </c>
      <c r="AK65" s="544">
        <f ca="1">IF(IF(AJ54=0,0,IF(OR(AK$3="Enero",AK$3="Abril",AK$3="Julio",AK$3="Octubre"),SUM($G60:AJ60)-SUM($G65:AJ65),0))&lt;0,0,(IF(AJ54=0,0,IF(OR(AK$3="Enero",AK$3="Abril",AK$3="Julio",AK$3="Octubre"),SUM($G60:AJ60)-SUM($G65:AJ65),0))))</f>
        <v>0</v>
      </c>
      <c r="AL65" s="544">
        <f>IF(IF(AK54=0,0,IF(OR(AL$3="Enero",AL$3="Abril",AL$3="Julio",AL$3="Octubre"),SUM($G60:AK60)-SUM($G65:AK65),0))&lt;0,0,(IF(AK54=0,0,IF(OR(AL$3="Enero",AL$3="Abril",AL$3="Julio",AL$3="Octubre"),SUM($G60:AK60)-SUM($G65:AK65),0))))</f>
        <v>0</v>
      </c>
      <c r="AM65" s="544">
        <f>IF(IF(AL54=0,0,IF(OR(AM$3="Enero",AM$3="Abril",AM$3="Julio",AM$3="Octubre"),SUM($G60:AL60)-SUM($G65:AL65),0))&lt;0,0,(IF(AL54=0,0,IF(OR(AM$3="Enero",AM$3="Abril",AM$3="Julio",AM$3="Octubre"),SUM($G60:AL60)-SUM($G65:AL65),0))))</f>
        <v>0</v>
      </c>
      <c r="AN65" s="544">
        <f ca="1">IF(IF(AM54=0,0,IF(OR(AN$3="Enero",AN$3="Abril",AN$3="Julio",AN$3="Octubre"),SUM($G60:AM60)-SUM($G65:AM65),0))&lt;0,0,(IF(AM54=0,0,IF(OR(AN$3="Enero",AN$3="Abril",AN$3="Julio",AN$3="Octubre"),SUM($G60:AM60)-SUM($G65:AM65),0))))</f>
        <v>0</v>
      </c>
      <c r="AO65" s="544">
        <f>IF(IF(AN54=0,0,IF(OR(AO$3="Enero",AO$3="Abril",AO$3="Julio",AO$3="Octubre"),SUM($G60:AN60)-SUM($G65:AN65),0))&lt;0,0,(IF(AN54=0,0,IF(OR(AO$3="Enero",AO$3="Abril",AO$3="Julio",AO$3="Octubre"),SUM($G60:AN60)-SUM($G65:AN65),0))))</f>
        <v>0</v>
      </c>
      <c r="AP65" s="544">
        <f>IF(IF(AO54=0,0,IF(OR(AP$3="Enero",AP$3="Abril",AP$3="Julio",AP$3="Octubre"),SUM($G60:AO60)-SUM($G65:AO65),0))&lt;0,0,(IF(AO54=0,0,IF(OR(AP$3="Enero",AP$3="Abril",AP$3="Julio",AP$3="Octubre"),SUM($G60:AO60)-SUM($G65:AO65),0))))</f>
        <v>0</v>
      </c>
      <c r="AQ65" s="544">
        <f ca="1">IF(IF(AP54=0,0,IF(OR(AQ$3="Enero",AQ$3="Abril",AQ$3="Julio",AQ$3="Octubre"),SUM($G60:AP60)-SUM($G65:AP65),0))&lt;0,0,(IF(AP54=0,0,IF(OR(AQ$3="Enero",AQ$3="Abril",AQ$3="Julio",AQ$3="Octubre"),SUM($G60:AP60)-SUM($G65:AP65),0))))</f>
        <v>0</v>
      </c>
      <c r="AR65" s="544">
        <f>IF(IF(AQ54=0,0,IF(OR(AR$3="Enero",AR$3="Abril",AR$3="Julio",AR$3="Octubre"),SUM($G60:AQ60)-SUM($G65:AQ65),0))&lt;0,0,(IF(AQ54=0,0,IF(OR(AR$3="Enero",AR$3="Abril",AR$3="Julio",AR$3="Octubre"),SUM($G60:AQ60)-SUM($G65:AQ65),0))))</f>
        <v>0</v>
      </c>
      <c r="AS65" s="544">
        <f>IF(IF(AR54=0,0,IF(OR(AS$3="Enero",AS$3="Abril",AS$3="Julio",AS$3="Octubre"),SUM($G60:AR60)-SUM($G65:AR65),0))&lt;0,0,(IF(AR54=0,0,IF(OR(AS$3="Enero",AS$3="Abril",AS$3="Julio",AS$3="Octubre"),SUM($G60:AR60)-SUM($G65:AR65),0))))</f>
        <v>0</v>
      </c>
    </row>
    <row r="66" spans="1:45">
      <c r="B66" s="543">
        <f>B61</f>
        <v>45295</v>
      </c>
      <c r="G66" s="544"/>
      <c r="H66" s="544">
        <f>IF(IF(G56=0,0,IF(OR(H$3="Enero",H$3="Abril",H$3="Julio",H$3="Octubre"),SUM($G61:G61)-SUM($G66:G66),0))&lt;0,0,(IF(G56=0,0,IF(OR(H$3="Enero",H$3="Abril",H$3="Julio",H$3="Octubre"),SUM($G61:G61)-SUM($G66:G66),0))))</f>
        <v>0</v>
      </c>
      <c r="I66" s="544">
        <f>IF(IF(H56=0,0,IF(OR(I$3="Enero",I$3="Abril",I$3="Julio",I$3="Octubre"),SUM($G61:H61)-SUM($G66:H66),0))&lt;0,0,(IF(H56=0,0,IF(OR(I$3="Enero",I$3="Abril",I$3="Julio",I$3="Octubre"),SUM($G61:H61)-SUM($G66:H66),0))))</f>
        <v>0</v>
      </c>
      <c r="J66" s="544">
        <f>IF(IF(I56=0,0,IF(OR(J$3="Enero",J$3="Abril",J$3="Julio",J$3="Octubre"),SUM($G61:I61)-SUM($G66:I66),0))&lt;0,0,(IF(I56=0,0,IF(OR(J$3="Enero",J$3="Abril",J$3="Julio",J$3="Octubre"),SUM($G61:I61)-SUM($G66:I66),0))))</f>
        <v>0</v>
      </c>
      <c r="K66" s="544">
        <f>IF(IF(J56=0,0,IF(OR(K$3="Enero",K$3="Abril",K$3="Julio",K$3="Octubre"),SUM($G61:J61)-SUM($G66:J66),0))&lt;0,0,(IF(J56=0,0,IF(OR(K$3="Enero",K$3="Abril",K$3="Julio",K$3="Octubre"),SUM($G61:J61)-SUM($G66:J66),0))))</f>
        <v>0</v>
      </c>
      <c r="L66" s="544">
        <f>IF(IF(K56=0,0,IF(OR(L$3="Enero",L$3="Abril",L$3="Julio",L$3="Octubre"),SUM($G61:K61)-SUM($G66:K66),0))&lt;0,0,(IF(K56=0,0,IF(OR(L$3="Enero",L$3="Abril",L$3="Julio",L$3="Octubre"),SUM($G61:K61)-SUM($G66:K66),0))))</f>
        <v>0</v>
      </c>
      <c r="M66" s="544">
        <f>IF(IF(L56=0,0,IF(OR(M$3="Enero",M$3="Abril",M$3="Julio",M$3="Octubre"),SUM($G61:L61)-SUM($G66:L66),0))&lt;0,0,(IF(L56=0,0,IF(OR(M$3="Enero",M$3="Abril",M$3="Julio",M$3="Octubre"),SUM($G61:L61)-SUM($G66:L66),0))))</f>
        <v>0</v>
      </c>
      <c r="N66" s="544">
        <f>IF(IF(M56=0,0,IF(OR(N$3="Enero",N$3="Abril",N$3="Julio",N$3="Octubre"),SUM($G61:M61)-SUM($G66:M66),0))&lt;0,0,(IF(M56=0,0,IF(OR(N$3="Enero",N$3="Abril",N$3="Julio",N$3="Octubre"),SUM($G61:M61)-SUM($G66:M66),0))))</f>
        <v>0</v>
      </c>
      <c r="O66" s="544">
        <f>IF(IF(N56=0,0,IF(OR(O$3="Enero",O$3="Abril",O$3="Julio",O$3="Octubre"),SUM($G61:N61)-SUM($G66:N66),0))&lt;0,0,(IF(N56=0,0,IF(OR(O$3="Enero",O$3="Abril",O$3="Julio",O$3="Octubre"),SUM($G61:N61)-SUM($G66:N66),0))))</f>
        <v>0</v>
      </c>
      <c r="P66" s="544">
        <f>IF(IF(O56=0,0,IF(OR(P$3="Enero",P$3="Abril",P$3="Julio",P$3="Octubre"),SUM($G61:O61)-SUM($G66:O66),0))&lt;0,0,(IF(O56=0,0,IF(OR(P$3="Enero",P$3="Abril",P$3="Julio",P$3="Octubre"),SUM($G61:O61)-SUM($G66:O66),0))))</f>
        <v>0</v>
      </c>
      <c r="Q66" s="544">
        <f>IF(IF(P56=0,0,IF(OR(Q$3="Enero",Q$3="Abril",Q$3="Julio",Q$3="Octubre"),SUM($G61:P61)-SUM($G66:P66),0))&lt;0,0,(IF(P56=0,0,IF(OR(Q$3="Enero",Q$3="Abril",Q$3="Julio",Q$3="Octubre"),SUM($G61:P61)-SUM($G66:P66),0))))</f>
        <v>0</v>
      </c>
      <c r="R66" s="544">
        <f>IF(IF(Q56=0,0,IF(OR(R$3="Enero",R$3="Abril",R$3="Julio",R$3="Octubre"),SUM($G61:Q61)-SUM($G66:Q66),0))&lt;0,0,(IF(Q56=0,0,IF(OR(R$3="Enero",R$3="Abril",R$3="Julio",R$3="Octubre"),SUM($G61:Q61)-SUM($G66:Q66),0))))</f>
        <v>0</v>
      </c>
      <c r="S66" s="544">
        <f>IF(IF(R56=0,0,IF(OR(S$3="Enero",S$3="Abril",S$3="Julio",S$3="Octubre"),SUM($G61:R61)-SUM($G66:R66),0))&lt;0,0,(IF(R56=0,0,IF(OR(S$3="Enero",S$3="Abril",S$3="Julio",S$3="Octubre"),SUM($G61:R61)-SUM($G66:R66),0))))</f>
        <v>0</v>
      </c>
      <c r="T66" s="544">
        <f>IF(IF(S56=0,0,IF(OR(T$3="Enero",T$3="Abril",T$3="Julio",T$3="Octubre"),SUM($G61:S61)-SUM($G66:S66),0))&lt;0,0,(IF(S56=0,0,IF(OR(T$3="Enero",T$3="Abril",T$3="Julio",T$3="Octubre"),SUM($G61:S61)-SUM($G66:S66),0))))</f>
        <v>0</v>
      </c>
      <c r="U66" s="544">
        <f>IF(IF(T56=0,0,IF(OR(U$3="Enero",U$3="Abril",U$3="Julio",U$3="Octubre"),SUM($G61:T61)-SUM($G66:T66),0))&lt;0,0,(IF(T56=0,0,IF(OR(U$3="Enero",U$3="Abril",U$3="Julio",U$3="Octubre"),SUM($G61:T61)-SUM($G66:T66),0))))</f>
        <v>0</v>
      </c>
      <c r="V66" s="544">
        <f>IF(IF(U56=0,0,IF(OR(V$3="Enero",V$3="Abril",V$3="Julio",V$3="Octubre"),SUM($G61:U61)-SUM($G66:U66),0))&lt;0,0,(IF(U56=0,0,IF(OR(V$3="Enero",V$3="Abril",V$3="Julio",V$3="Octubre"),SUM($G61:U61)-SUM($G66:U66),0))))</f>
        <v>0</v>
      </c>
      <c r="W66" s="544">
        <f>IF(IF(V56=0,0,IF(OR(W$3="Enero",W$3="Abril",W$3="Julio",W$3="Octubre"),SUM($G61:V61)-SUM($G66:V66),0))&lt;0,0,(IF(V56=0,0,IF(OR(W$3="Enero",W$3="Abril",W$3="Julio",W$3="Octubre"),SUM($G61:V61)-SUM($G66:V66),0))))</f>
        <v>0</v>
      </c>
      <c r="X66" s="544">
        <f>IF(IF(W56=0,0,IF(OR(X$3="Enero",X$3="Abril",X$3="Julio",X$3="Octubre"),SUM($G61:W61)-SUM($G66:W66),0))&lt;0,0,(IF(W56=0,0,IF(OR(X$3="Enero",X$3="Abril",X$3="Julio",X$3="Octubre"),SUM($G61:W61)-SUM($G66:W66),0))))</f>
        <v>0</v>
      </c>
      <c r="Y66" s="544">
        <f>IF(IF(X56=0,0,IF(OR(Y$3="Enero",Y$3="Abril",Y$3="Julio",Y$3="Octubre"),SUM($G61:X61)-SUM($G66:X66),0))&lt;0,0,(IF(X56=0,0,IF(OR(Y$3="Enero",Y$3="Abril",Y$3="Julio",Y$3="Octubre"),SUM($G61:X61)-SUM($G66:X66),0))))</f>
        <v>0</v>
      </c>
      <c r="Z66" s="544">
        <f>IF(IF(Y56=0,0,IF(OR(Z$3="Enero",Z$3="Abril",Z$3="Julio",Z$3="Octubre"),SUM($G61:Y61)-SUM($G66:Y66),0))&lt;0,0,(IF(Y56=0,0,IF(OR(Z$3="Enero",Z$3="Abril",Z$3="Julio",Z$3="Octubre"),SUM($G61:Y61)-SUM($G66:Y66),0))))</f>
        <v>0</v>
      </c>
      <c r="AA66" s="544">
        <f>IF(IF(Z56=0,0,IF(OR(AA$3="Enero",AA$3="Abril",AA$3="Julio",AA$3="Octubre"),SUM($G61:Z61)-SUM($G66:Z66),0))&lt;0,0,(IF(Z56=0,0,IF(OR(AA$3="Enero",AA$3="Abril",AA$3="Julio",AA$3="Octubre"),SUM($G61:Z61)-SUM($G66:Z66),0))))</f>
        <v>0</v>
      </c>
      <c r="AB66" s="544">
        <f>IF(IF(AA56=0,0,IF(OR(AB$3="Enero",AB$3="Abril",AB$3="Julio",AB$3="Octubre"),SUM($G61:AA61)-SUM($G66:AA66),0))&lt;0,0,(IF(AA56=0,0,IF(OR(AB$3="Enero",AB$3="Abril",AB$3="Julio",AB$3="Octubre"),SUM($G61:AA61)-SUM($G66:AA66),0))))</f>
        <v>0</v>
      </c>
      <c r="AC66" s="544">
        <f>IF(IF(AB56=0,0,IF(OR(AC$3="Enero",AC$3="Abril",AC$3="Julio",AC$3="Octubre"),SUM($G61:AB61)-SUM($G66:AB66),0))&lt;0,0,(IF(AB56=0,0,IF(OR(AC$3="Enero",AC$3="Abril",AC$3="Julio",AC$3="Octubre"),SUM($G61:AB61)-SUM($G66:AB66),0))))</f>
        <v>0</v>
      </c>
      <c r="AD66" s="544">
        <f>IF(IF(AC56=0,0,IF(OR(AD$3="Enero",AD$3="Abril",AD$3="Julio",AD$3="Octubre"),SUM($G61:AC61)-SUM($G66:AC66),0))&lt;0,0,(IF(AC56=0,0,IF(OR(AD$3="Enero",AD$3="Abril",AD$3="Julio",AD$3="Octubre"),SUM($G61:AC61)-SUM($G66:AC66),0))))</f>
        <v>0</v>
      </c>
      <c r="AE66" s="544">
        <f>IF(IF(AD56=0,0,IF(OR(AE$3="Enero",AE$3="Abril",AE$3="Julio",AE$3="Octubre"),SUM($G61:AD61)-SUM($G66:AD66),0))&lt;0,0,(IF(AD56=0,0,IF(OR(AE$3="Enero",AE$3="Abril",AE$3="Julio",AE$3="Octubre"),SUM($G61:AD61)-SUM($G66:AD66),0))))</f>
        <v>0</v>
      </c>
      <c r="AF66" s="544">
        <f>IF(IF(AE56=0,0,IF(OR(AF$3="Enero",AF$3="Abril",AF$3="Julio",AF$3="Octubre"),SUM($G61:AE61)-SUM($G66:AE66),0))&lt;0,0,(IF(AE56=0,0,IF(OR(AF$3="Enero",AF$3="Abril",AF$3="Julio",AF$3="Octubre"),SUM($G61:AE61)-SUM($G66:AE66),0))))</f>
        <v>0</v>
      </c>
      <c r="AG66" s="544">
        <f>IF(IF(AF56=0,0,IF(OR(AG$3="Enero",AG$3="Abril",AG$3="Julio",AG$3="Octubre"),SUM($G61:AF61)-SUM($G66:AF66),0))&lt;0,0,(IF(AF56=0,0,IF(OR(AG$3="Enero",AG$3="Abril",AG$3="Julio",AG$3="Octubre"),SUM($G61:AF61)-SUM($G66:AF66),0))))</f>
        <v>0</v>
      </c>
      <c r="AH66" s="544">
        <f>IF(IF(AG56=0,0,IF(OR(AH$3="Enero",AH$3="Abril",AH$3="Julio",AH$3="Octubre"),SUM($G61:AG61)-SUM($G66:AG66),0))&lt;0,0,(IF(AG56=0,0,IF(OR(AH$3="Enero",AH$3="Abril",AH$3="Julio",AH$3="Octubre"),SUM($G61:AG61)-SUM($G66:AG66),0))))</f>
        <v>0</v>
      </c>
      <c r="AI66" s="544">
        <f>IF(IF(AH56=0,0,IF(OR(AI$3="Enero",AI$3="Abril",AI$3="Julio",AI$3="Octubre"),SUM($G61:AH61)-SUM($G66:AH66),0))&lt;0,0,(IF(AH56=0,0,IF(OR(AI$3="Enero",AI$3="Abril",AI$3="Julio",AI$3="Octubre"),SUM($G61:AH61)-SUM($G66:AH66),0))))</f>
        <v>0</v>
      </c>
      <c r="AJ66" s="544">
        <f>IF(IF(AI56=0,0,IF(OR(AJ$3="Enero",AJ$3="Abril",AJ$3="Julio",AJ$3="Octubre"),SUM($G61:AI61)-SUM($G66:AI66),0))&lt;0,0,(IF(AI56=0,0,IF(OR(AJ$3="Enero",AJ$3="Abril",AJ$3="Julio",AJ$3="Octubre"),SUM($G61:AI61)-SUM($G66:AI66),0))))</f>
        <v>0</v>
      </c>
      <c r="AK66" s="544">
        <f>IF(IF(AJ56=0,0,IF(OR(AK$3="Enero",AK$3="Abril",AK$3="Julio",AK$3="Octubre"),SUM($G61:AJ61)-SUM($G66:AJ66),0))&lt;0,0,(IF(AJ56=0,0,IF(OR(AK$3="Enero",AK$3="Abril",AK$3="Julio",AK$3="Octubre"),SUM($G61:AJ61)-SUM($G66:AJ66),0))))</f>
        <v>0</v>
      </c>
      <c r="AL66" s="544">
        <f>IF(IF(AK56=0,0,IF(OR(AL$3="Enero",AL$3="Abril",AL$3="Julio",AL$3="Octubre"),SUM($G61:AK61)-SUM($G66:AK66),0))&lt;0,0,(IF(AK56=0,0,IF(OR(AL$3="Enero",AL$3="Abril",AL$3="Julio",AL$3="Octubre"),SUM($G61:AK61)-SUM($G66:AK66),0))))</f>
        <v>0</v>
      </c>
      <c r="AM66" s="544">
        <f>IF(IF(AL56=0,0,IF(OR(AM$3="Enero",AM$3="Abril",AM$3="Julio",AM$3="Octubre"),SUM($G61:AL61)-SUM($G66:AL66),0))&lt;0,0,(IF(AL56=0,0,IF(OR(AM$3="Enero",AM$3="Abril",AM$3="Julio",AM$3="Octubre"),SUM($G61:AL61)-SUM($G66:AL66),0))))</f>
        <v>0</v>
      </c>
      <c r="AN66" s="544">
        <f>IF(IF(AM56=0,0,IF(OR(AN$3="Enero",AN$3="Abril",AN$3="Julio",AN$3="Octubre"),SUM($G61:AM61)-SUM($G66:AM66),0))&lt;0,0,(IF(AM56=0,0,IF(OR(AN$3="Enero",AN$3="Abril",AN$3="Julio",AN$3="Octubre"),SUM($G61:AM61)-SUM($G66:AM66),0))))</f>
        <v>0</v>
      </c>
      <c r="AO66" s="544">
        <f>IF(IF(AN56=0,0,IF(OR(AO$3="Enero",AO$3="Abril",AO$3="Julio",AO$3="Octubre"),SUM($G61:AN61)-SUM($G66:AN66),0))&lt;0,0,(IF(AN56=0,0,IF(OR(AO$3="Enero",AO$3="Abril",AO$3="Julio",AO$3="Octubre"),SUM($G61:AN61)-SUM($G66:AN66),0))))</f>
        <v>0</v>
      </c>
      <c r="AP66" s="544">
        <f>IF(IF(AO56=0,0,IF(OR(AP$3="Enero",AP$3="Abril",AP$3="Julio",AP$3="Octubre"),SUM($G61:AO61)-SUM($G66:AO66),0))&lt;0,0,(IF(AO56=0,0,IF(OR(AP$3="Enero",AP$3="Abril",AP$3="Julio",AP$3="Octubre"),SUM($G61:AO61)-SUM($G66:AO66),0))))</f>
        <v>0</v>
      </c>
      <c r="AQ66" s="544">
        <f>IF(IF(AP56=0,0,IF(OR(AQ$3="Enero",AQ$3="Abril",AQ$3="Julio",AQ$3="Octubre"),SUM($G61:AP61)-SUM($G66:AP66),0))&lt;0,0,(IF(AP56=0,0,IF(OR(AQ$3="Enero",AQ$3="Abril",AQ$3="Julio",AQ$3="Octubre"),SUM($G61:AP61)-SUM($G66:AP66),0))))</f>
        <v>0</v>
      </c>
      <c r="AR66" s="544">
        <f>IF(IF(AQ56=0,0,IF(OR(AR$3="Enero",AR$3="Abril",AR$3="Julio",AR$3="Octubre"),SUM($G61:AQ61)-SUM($G66:AQ66),0))&lt;0,0,(IF(AQ56=0,0,IF(OR(AR$3="Enero",AR$3="Abril",AR$3="Julio",AR$3="Octubre"),SUM($G61:AQ61)-SUM($G66:AQ66),0))))</f>
        <v>0</v>
      </c>
      <c r="AS66" s="544">
        <f>IF(IF(AR56=0,0,IF(OR(AS$3="Enero",AS$3="Abril",AS$3="Julio",AS$3="Octubre"),SUM($G61:AR61)-SUM($G66:AR66),0))&lt;0,0,(IF(AR56=0,0,IF(OR(AS$3="Enero",AS$3="Abril",AS$3="Julio",AS$3="Octubre"),SUM($G61:AR61)-SUM($G66:AR66),0))))</f>
        <v>0</v>
      </c>
    </row>
    <row r="68" spans="1:45">
      <c r="A68" t="s">
        <v>546</v>
      </c>
      <c r="R68" s="545">
        <f ca="1">SUM(G58:R61)-SUM(G63:R66)</f>
        <v>0</v>
      </c>
      <c r="AD68" s="545">
        <f ca="1">SUM(G58:AD61)-SUM(G63:AD66)</f>
        <v>0</v>
      </c>
      <c r="AP68" s="545">
        <f ca="1">SUM(G58:AP61)-SUM(G63:AP66)</f>
        <v>0</v>
      </c>
    </row>
    <row r="69" spans="1:45" ht="18.75" customHeight="1">
      <c r="A69" s="1259" t="s">
        <v>547</v>
      </c>
      <c r="B69" s="1259"/>
      <c r="C69" s="1259"/>
      <c r="D69" s="1259"/>
      <c r="E69" s="1259"/>
      <c r="F69" s="1259"/>
      <c r="G69" s="1259"/>
      <c r="H69" s="1259"/>
      <c r="J69" t="s">
        <v>46</v>
      </c>
    </row>
    <row r="70" spans="1:45" ht="31.5">
      <c r="B70" s="541">
        <f>IF(AND(Cuestionario!$C$67=DATOS!P3,Cuestionario!$I$5="Empresario Individual"),1,0)</f>
        <v>0</v>
      </c>
      <c r="G70" s="17" t="str">
        <f>G3</f>
        <v>Enero</v>
      </c>
      <c r="H70" s="17" t="str">
        <f t="shared" ref="H70:AP70" si="58">H3</f>
        <v>Febrero</v>
      </c>
      <c r="I70" s="17" t="str">
        <f t="shared" si="58"/>
        <v>Marzo</v>
      </c>
      <c r="J70" s="17" t="str">
        <f t="shared" si="58"/>
        <v>Abril</v>
      </c>
      <c r="K70" s="17" t="str">
        <f t="shared" si="58"/>
        <v>Mayo</v>
      </c>
      <c r="L70" s="17" t="str">
        <f t="shared" si="58"/>
        <v>Junio</v>
      </c>
      <c r="M70" s="17" t="str">
        <f t="shared" si="58"/>
        <v>Julio</v>
      </c>
      <c r="N70" s="17" t="str">
        <f t="shared" si="58"/>
        <v>Agosto</v>
      </c>
      <c r="O70" s="17" t="str">
        <f t="shared" si="58"/>
        <v>Septiembre</v>
      </c>
      <c r="P70" s="17" t="str">
        <f t="shared" si="58"/>
        <v>Octubre</v>
      </c>
      <c r="Q70" s="17" t="str">
        <f t="shared" si="58"/>
        <v>Noviembre</v>
      </c>
      <c r="R70" s="17" t="str">
        <f t="shared" si="58"/>
        <v>Diciembre</v>
      </c>
      <c r="S70" s="17" t="str">
        <f t="shared" si="58"/>
        <v>Enero</v>
      </c>
      <c r="T70" s="17" t="str">
        <f t="shared" si="58"/>
        <v>Febrero</v>
      </c>
      <c r="U70" s="17" t="str">
        <f t="shared" si="58"/>
        <v>Marzo</v>
      </c>
      <c r="V70" s="17" t="str">
        <f t="shared" si="58"/>
        <v>Abril</v>
      </c>
      <c r="W70" s="17" t="str">
        <f t="shared" si="58"/>
        <v>Mayo</v>
      </c>
      <c r="X70" s="17" t="str">
        <f t="shared" si="58"/>
        <v>Junio</v>
      </c>
      <c r="Y70" s="17" t="str">
        <f t="shared" si="58"/>
        <v>Julio</v>
      </c>
      <c r="Z70" s="17" t="str">
        <f t="shared" si="58"/>
        <v>Agosto</v>
      </c>
      <c r="AA70" s="17" t="str">
        <f t="shared" si="58"/>
        <v>Septiembre</v>
      </c>
      <c r="AB70" s="17" t="str">
        <f t="shared" si="58"/>
        <v>Octubre</v>
      </c>
      <c r="AC70" s="17" t="str">
        <f t="shared" si="58"/>
        <v>Noviembre</v>
      </c>
      <c r="AD70" s="17" t="str">
        <f t="shared" si="58"/>
        <v>Diciembre</v>
      </c>
      <c r="AE70" s="17" t="str">
        <f>AE3</f>
        <v>Enero</v>
      </c>
      <c r="AF70" s="17" t="str">
        <f t="shared" si="58"/>
        <v>Febrero</v>
      </c>
      <c r="AG70" s="17" t="str">
        <f t="shared" si="58"/>
        <v>Marzo</v>
      </c>
      <c r="AH70" s="17" t="str">
        <f t="shared" si="58"/>
        <v>Abril</v>
      </c>
      <c r="AI70" s="17" t="str">
        <f t="shared" si="58"/>
        <v>Mayo</v>
      </c>
      <c r="AJ70" s="17" t="str">
        <f t="shared" si="58"/>
        <v>Junio</v>
      </c>
      <c r="AK70" s="17" t="str">
        <f t="shared" si="58"/>
        <v>Julio</v>
      </c>
      <c r="AL70" s="17" t="str">
        <f t="shared" si="58"/>
        <v>Agosto</v>
      </c>
      <c r="AM70" s="17" t="str">
        <f t="shared" si="58"/>
        <v>Septiembre</v>
      </c>
      <c r="AN70" s="17" t="str">
        <f t="shared" si="58"/>
        <v>Octubre</v>
      </c>
      <c r="AO70" s="17" t="str">
        <f t="shared" si="58"/>
        <v>Noviembre</v>
      </c>
      <c r="AP70" s="17" t="str">
        <f t="shared" si="58"/>
        <v>Diciembre</v>
      </c>
      <c r="AQ70" s="17" t="str">
        <f>AQ3</f>
        <v>Enero</v>
      </c>
    </row>
    <row r="71" spans="1:45">
      <c r="A71" t="s">
        <v>548</v>
      </c>
      <c r="B71" s="541"/>
      <c r="G71" s="136">
        <f>H72</f>
        <v>0</v>
      </c>
      <c r="H71" s="136">
        <f t="shared" ref="H71:AP71" si="59">I72</f>
        <v>0</v>
      </c>
      <c r="I71" s="136">
        <f t="shared" si="59"/>
        <v>0</v>
      </c>
      <c r="J71" s="136">
        <f t="shared" si="59"/>
        <v>0</v>
      </c>
      <c r="K71" s="136">
        <f t="shared" si="59"/>
        <v>0</v>
      </c>
      <c r="L71" s="136">
        <f t="shared" si="59"/>
        <v>0</v>
      </c>
      <c r="M71" s="136">
        <f t="shared" si="59"/>
        <v>0</v>
      </c>
      <c r="N71" s="136">
        <f t="shared" si="59"/>
        <v>0</v>
      </c>
      <c r="O71" s="136">
        <f t="shared" si="59"/>
        <v>0</v>
      </c>
      <c r="P71" s="136">
        <f t="shared" si="59"/>
        <v>0</v>
      </c>
      <c r="Q71" s="136">
        <f t="shared" si="59"/>
        <v>0</v>
      </c>
      <c r="R71" s="136">
        <f t="shared" si="59"/>
        <v>0</v>
      </c>
      <c r="S71" s="136">
        <f t="shared" si="59"/>
        <v>0</v>
      </c>
      <c r="T71" s="136">
        <f t="shared" si="59"/>
        <v>0</v>
      </c>
      <c r="U71" s="136">
        <f t="shared" si="59"/>
        <v>0</v>
      </c>
      <c r="V71" s="136">
        <f t="shared" si="59"/>
        <v>0</v>
      </c>
      <c r="W71" s="136">
        <f t="shared" si="59"/>
        <v>0</v>
      </c>
      <c r="X71" s="136">
        <f t="shared" si="59"/>
        <v>0</v>
      </c>
      <c r="Y71" s="136">
        <f t="shared" si="59"/>
        <v>0</v>
      </c>
      <c r="Z71" s="136">
        <f t="shared" si="59"/>
        <v>0</v>
      </c>
      <c r="AA71" s="136">
        <f t="shared" si="59"/>
        <v>0</v>
      </c>
      <c r="AB71" s="136">
        <f t="shared" si="59"/>
        <v>0</v>
      </c>
      <c r="AC71" s="136">
        <f t="shared" si="59"/>
        <v>0</v>
      </c>
      <c r="AD71" s="136">
        <f>AE72</f>
        <v>0</v>
      </c>
      <c r="AE71" s="136">
        <f t="shared" si="59"/>
        <v>0</v>
      </c>
      <c r="AF71" s="136">
        <f t="shared" si="59"/>
        <v>0</v>
      </c>
      <c r="AG71" s="136">
        <f t="shared" si="59"/>
        <v>0</v>
      </c>
      <c r="AH71" s="136">
        <f t="shared" si="59"/>
        <v>0</v>
      </c>
      <c r="AI71" s="136">
        <f t="shared" si="59"/>
        <v>0</v>
      </c>
      <c r="AJ71" s="136">
        <f t="shared" si="59"/>
        <v>0</v>
      </c>
      <c r="AK71" s="136">
        <f t="shared" si="59"/>
        <v>0</v>
      </c>
      <c r="AL71" s="136">
        <f t="shared" si="59"/>
        <v>0</v>
      </c>
      <c r="AM71" s="136">
        <f t="shared" si="59"/>
        <v>0</v>
      </c>
      <c r="AN71" s="136">
        <f t="shared" si="59"/>
        <v>0</v>
      </c>
      <c r="AO71" s="136">
        <f t="shared" si="59"/>
        <v>0</v>
      </c>
      <c r="AP71" s="136">
        <f t="shared" si="59"/>
        <v>0</v>
      </c>
    </row>
    <row r="72" spans="1:45">
      <c r="A72" s="90" t="s">
        <v>547</v>
      </c>
      <c r="G72" s="136">
        <v>0</v>
      </c>
      <c r="H72" s="136">
        <f>IF(Cuestionario!$I$5="Empresario Individual",IF(OR(H$70="Enero",H$70="Abril",H$70="Julio",H$70="Octubre"),Cuestionario!$C$68+Cuestionario!$C$71,0),0)*$B$70</f>
        <v>0</v>
      </c>
      <c r="I72" s="136">
        <f>IF(Cuestionario!$I$5="Empresario Individual",IF(OR(I$70="Enero",I$70="Abril",I$70="Julio",I$70="Octubre"),Cuestionario!$C$68+Cuestionario!$C$71,0),0)*$B$70</f>
        <v>0</v>
      </c>
      <c r="J72" s="136">
        <f>IF(Cuestionario!$I$5="Empresario Individual",IF(OR(J$70="Enero",J$70="Abril",J$70="Julio",J$70="Octubre"),Cuestionario!$C$68+Cuestionario!$C$71,0),0)*$B$70</f>
        <v>0</v>
      </c>
      <c r="K72" s="136">
        <f>IF(Cuestionario!$I$5="Empresario Individual",IF(OR(K$70="Enero",K$70="Abril",K$70="Julio",K$70="Octubre"),Cuestionario!$C$68+Cuestionario!$C$71,0),0)*$B$70</f>
        <v>0</v>
      </c>
      <c r="L72" s="136">
        <f>IF(Cuestionario!$I$5="Empresario Individual",IF(OR(L$70="Enero",L$70="Abril",L$70="Julio",L$70="Octubre"),Cuestionario!$C$68+Cuestionario!$C$71,0),0)*$B$70</f>
        <v>0</v>
      </c>
      <c r="M72" s="136">
        <f>IF(Cuestionario!$I$5="Empresario Individual",IF(OR(M$70="Enero",M$70="Abril",M$70="Julio",M$70="Octubre"),Cuestionario!$C$68+Cuestionario!$C$71,0),0)*$B$70</f>
        <v>0</v>
      </c>
      <c r="N72" s="136">
        <f>IF(Cuestionario!$I$5="Empresario Individual",IF(OR(N$70="Enero",N$70="Abril",N$70="Julio",N$70="Octubre"),Cuestionario!$C$68+Cuestionario!$C$71,0),0)*$B$70</f>
        <v>0</v>
      </c>
      <c r="O72" s="136">
        <f>IF(Cuestionario!$I$5="Empresario Individual",IF(OR(O$70="Enero",O$70="Abril",O$70="Julio",O$70="Octubre"),Cuestionario!$C$68+Cuestionario!$C$71,0),0)*$B$70</f>
        <v>0</v>
      </c>
      <c r="P72" s="136">
        <f>IF(Cuestionario!$I$5="Empresario Individual",IF(OR(P$70="Enero",P$70="Abril",P$70="Julio",P$70="Octubre"),Cuestionario!$C$68+Cuestionario!$C$71,0),0)*$B$70</f>
        <v>0</v>
      </c>
      <c r="Q72" s="136">
        <f>IF(Cuestionario!$I$5="Empresario Individual",IF(OR(Q$70="Enero",Q$70="Abril",Q$70="Julio",Q$70="Octubre"),Cuestionario!$C$68+Cuestionario!$C$71,0),0)*$B$70</f>
        <v>0</v>
      </c>
      <c r="R72" s="136">
        <f>IF(Cuestionario!$I$5="Empresario Individual",IF(OR(R$70="Enero",R$70="Abril",R$70="Julio",R$70="Octubre"),Cuestionario!$C$68+Cuestionario!$C$71,0),0)*$B$70</f>
        <v>0</v>
      </c>
      <c r="S72" s="136">
        <f>IF(Cuestionario!$I$5="Empresario Individual",IF(OR(S$70="Enero",S$70="Abril",S$70="Julio",S$70="Octubre"),Cuestionario!$C$68+Cuestionario!$C$71,0),0)*$B$70</f>
        <v>0</v>
      </c>
      <c r="T72" s="136">
        <f>IF(Cuestionario!$I$5="Empresario Individual",IF(OR(T$70="Enero",T$70="Abril",T$70="Julio",T$70="Octubre"),Cuestionario!$C$68+Cuestionario!$C$71,0),0)*$B$70</f>
        <v>0</v>
      </c>
      <c r="U72" s="136">
        <f>IF(Cuestionario!$I$5="Empresario Individual",IF(OR(U$70="Enero",U$70="Abril",U$70="Julio",U$70="Octubre"),Cuestionario!$C$68+Cuestionario!$C$71,0),0)*$B$70</f>
        <v>0</v>
      </c>
      <c r="V72" s="136">
        <f>IF(Cuestionario!$I$5="Empresario Individual",IF(OR(V$70="Enero",V$70="Abril",V$70="Julio",V$70="Octubre"),Cuestionario!$C$68+Cuestionario!$C$71,0),0)*$B$70</f>
        <v>0</v>
      </c>
      <c r="W72" s="136">
        <f>IF(Cuestionario!$I$5="Empresario Individual",IF(OR(W$70="Enero",W$70="Abril",W$70="Julio",W$70="Octubre"),Cuestionario!$C$68+Cuestionario!$C$71,0),0)*$B$70</f>
        <v>0</v>
      </c>
      <c r="X72" s="136">
        <f>IF(Cuestionario!$I$5="Empresario Individual",IF(OR(X$70="Enero",X$70="Abril",X$70="Julio",X$70="Octubre"),Cuestionario!$C$68+Cuestionario!$C$71,0),0)*$B$70</f>
        <v>0</v>
      </c>
      <c r="Y72" s="136">
        <f>IF(Cuestionario!$I$5="Empresario Individual",IF(OR(Y$70="Enero",Y$70="Abril",Y$70="Julio",Y$70="Octubre"),Cuestionario!$C$68+Cuestionario!$C$71,0),0)*$B$70</f>
        <v>0</v>
      </c>
      <c r="Z72" s="136">
        <f>IF(Cuestionario!$I$5="Empresario Individual",IF(OR(Z$70="Enero",Z$70="Abril",Z$70="Julio",Z$70="Octubre"),Cuestionario!$C$68+Cuestionario!$C$71,0),0)*$B$70</f>
        <v>0</v>
      </c>
      <c r="AA72" s="136">
        <f>IF(Cuestionario!$I$5="Empresario Individual",IF(OR(AA$70="Enero",AA$70="Abril",AA$70="Julio",AA$70="Octubre"),Cuestionario!$C$68+Cuestionario!$C$71,0),0)*$B$70</f>
        <v>0</v>
      </c>
      <c r="AB72" s="136">
        <f>IF(Cuestionario!$I$5="Empresario Individual",IF(OR(AB$70="Enero",AB$70="Abril",AB$70="Julio",AB$70="Octubre"),Cuestionario!$C$68+Cuestionario!$C$71,0),0)*$B$70</f>
        <v>0</v>
      </c>
      <c r="AC72" s="136">
        <f>IF(Cuestionario!$I$5="Empresario Individual",IF(OR(AC$70="Enero",AC$70="Abril",AC$70="Julio",AC$70="Octubre"),Cuestionario!$C$68+Cuestionario!$C$71,0),0)*$B$70</f>
        <v>0</v>
      </c>
      <c r="AD72" s="136">
        <f>IF(Cuestionario!$I$5="Empresario Individual",IF(OR(AD$70="Enero",AD$70="Abril",AD$70="Julio",AD$70="Octubre"),Cuestionario!$C$68+Cuestionario!$C$71,0),0)*$B$70</f>
        <v>0</v>
      </c>
      <c r="AE72" s="136">
        <f>IF(Cuestionario!$I$5="Empresario Individual",IF(OR(AE$70="Enero",AE$70="Abril",AE$70="Julio",AE$70="Octubre"),Cuestionario!$C$68+Cuestionario!$C$71,0),0)*$B$70</f>
        <v>0</v>
      </c>
      <c r="AF72" s="136">
        <f>IF(Cuestionario!$I$5="Empresario Individual",IF(OR(AF$70="Enero",AF$70="Abril",AF$70="Julio",AF$70="Octubre"),Cuestionario!$C$68+Cuestionario!$C$71,0),0)*$B$70</f>
        <v>0</v>
      </c>
      <c r="AG72" s="136">
        <f>IF(Cuestionario!$I$5="Empresario Individual",IF(OR(AG$70="Enero",AG$70="Abril",AG$70="Julio",AG$70="Octubre"),Cuestionario!$C$68+Cuestionario!$C$71,0),0)*$B$70</f>
        <v>0</v>
      </c>
      <c r="AH72" s="136">
        <f>IF(Cuestionario!$I$5="Empresario Individual",IF(OR(AH$70="Enero",AH$70="Abril",AH$70="Julio",AH$70="Octubre"),Cuestionario!$C$68+Cuestionario!$C$71,0),0)*$B$70</f>
        <v>0</v>
      </c>
      <c r="AI72" s="136">
        <f>IF(Cuestionario!$I$5="Empresario Individual",IF(OR(AI$70="Enero",AI$70="Abril",AI$70="Julio",AI$70="Octubre"),Cuestionario!$C$68+Cuestionario!$C$71,0),0)*$B$70</f>
        <v>0</v>
      </c>
      <c r="AJ72" s="136">
        <f>IF(Cuestionario!$I$5="Empresario Individual",IF(OR(AJ$70="Enero",AJ$70="Abril",AJ$70="Julio",AJ$70="Octubre"),Cuestionario!$C$68+Cuestionario!$C$71,0),0)*$B$70</f>
        <v>0</v>
      </c>
      <c r="AK72" s="136">
        <f>IF(Cuestionario!$I$5="Empresario Individual",IF(OR(AK$70="Enero",AK$70="Abril",AK$70="Julio",AK$70="Octubre"),Cuestionario!$C$68+Cuestionario!$C$71,0),0)*$B$70</f>
        <v>0</v>
      </c>
      <c r="AL72" s="136">
        <f>IF(Cuestionario!$I$5="Empresario Individual",IF(OR(AL$70="Enero",AL$70="Abril",AL$70="Julio",AL$70="Octubre"),Cuestionario!$C$68+Cuestionario!$C$71,0),0)*$B$70</f>
        <v>0</v>
      </c>
      <c r="AM72" s="136">
        <f>IF(Cuestionario!$I$5="Empresario Individual",IF(OR(AM$70="Enero",AM$70="Abril",AM$70="Julio",AM$70="Octubre"),Cuestionario!$C$68+Cuestionario!$C$71,0),0)*$B$70</f>
        <v>0</v>
      </c>
      <c r="AN72" s="136">
        <f>IF(Cuestionario!$I$5="Empresario Individual",IF(OR(AN$70="Enero",AN$70="Abril",AN$70="Julio",AN$70="Octubre"),Cuestionario!$C$68+Cuestionario!$C$71,0),0)*$B$70</f>
        <v>0</v>
      </c>
      <c r="AO72" s="136">
        <f>IF(Cuestionario!$I$5="Empresario Individual",IF(OR(AO$70="Enero",AO$70="Abril",AO$70="Julio",AO$70="Octubre"),Cuestionario!$C$68+Cuestionario!$C$71,0),0)*$B$70</f>
        <v>0</v>
      </c>
      <c r="AP72" s="136">
        <f>IF(Cuestionario!$I$5="Empresario Individual",IF(OR(AP$70="Enero",AP$70="Abril",AP$70="Julio",AP$70="Octubre"),Cuestionario!$C$68+Cuestionario!$C$71,0),0)*$B$70</f>
        <v>0</v>
      </c>
      <c r="AQ72" s="136">
        <f>IF(Cuestionario!$I$5="Empresario Individual",IF(OR(AQ$70="Enero",AQ$70="Abril",AQ$70="Julio",AQ$70="Octubre"),Cuestionario!$C$68+Cuestionario!$C$71,0),0)*$B$70</f>
        <v>0</v>
      </c>
      <c r="AR72" s="81"/>
      <c r="AS72" s="81"/>
    </row>
    <row r="73" spans="1:45">
      <c r="A73" t="s">
        <v>546</v>
      </c>
      <c r="R73" s="136">
        <f>SUM(G71:R71)-SUM(G72:R72)</f>
        <v>0</v>
      </c>
      <c r="AD73" s="136">
        <f>SUM(G71:AD71)-SUM(G72:AD72)</f>
        <v>0</v>
      </c>
      <c r="AP73" s="136">
        <f>SUM(G71:AP71)-SUM(G72:AP72)</f>
        <v>0</v>
      </c>
    </row>
  </sheetData>
  <mergeCells count="5">
    <mergeCell ref="A69:H69"/>
    <mergeCell ref="G1:R1"/>
    <mergeCell ref="S1:AD1"/>
    <mergeCell ref="AE1:AP1"/>
    <mergeCell ref="A38:H38"/>
  </mergeCells>
  <conditionalFormatting sqref="G50:AP61">
    <cfRule type="cellIs" dxfId="470" priority="100" operator="greaterThan">
      <formula>0</formula>
    </cfRule>
  </conditionalFormatting>
  <conditionalFormatting sqref="G58:AP58">
    <cfRule type="cellIs" dxfId="469" priority="98" operator="lessThan">
      <formula>0</formula>
    </cfRule>
    <cfRule type="cellIs" dxfId="468" priority="99" operator="greaterThan">
      <formula>0</formula>
    </cfRule>
  </conditionalFormatting>
  <conditionalFormatting sqref="G59">
    <cfRule type="cellIs" dxfId="467" priority="96" operator="lessThan">
      <formula>0</formula>
    </cfRule>
    <cfRule type="cellIs" dxfId="466" priority="97" operator="greaterThan">
      <formula>0</formula>
    </cfRule>
  </conditionalFormatting>
  <conditionalFormatting sqref="G60">
    <cfRule type="cellIs" dxfId="465" priority="94" operator="lessThan">
      <formula>0</formula>
    </cfRule>
    <cfRule type="cellIs" dxfId="464" priority="95" operator="greaterThan">
      <formula>0</formula>
    </cfRule>
  </conditionalFormatting>
  <conditionalFormatting sqref="G61">
    <cfRule type="cellIs" dxfId="463" priority="92" operator="lessThan">
      <formula>0</formula>
    </cfRule>
    <cfRule type="cellIs" dxfId="462" priority="93" operator="greaterThan">
      <formula>0</formula>
    </cfRule>
  </conditionalFormatting>
  <conditionalFormatting sqref="H59:AP59">
    <cfRule type="cellIs" dxfId="461" priority="90" operator="lessThan">
      <formula>0</formula>
    </cfRule>
    <cfRule type="cellIs" dxfId="460" priority="91" operator="greaterThan">
      <formula>0</formula>
    </cfRule>
  </conditionalFormatting>
  <conditionalFormatting sqref="H60:AP60">
    <cfRule type="cellIs" dxfId="459" priority="88" operator="lessThan">
      <formula>0</formula>
    </cfRule>
    <cfRule type="cellIs" dxfId="458" priority="89" operator="greaterThan">
      <formula>0</formula>
    </cfRule>
  </conditionalFormatting>
  <conditionalFormatting sqref="H61:AP61">
    <cfRule type="cellIs" dxfId="457" priority="86" operator="lessThan">
      <formula>0</formula>
    </cfRule>
    <cfRule type="cellIs" dxfId="456" priority="87" operator="greaterThan">
      <formula>0</formula>
    </cfRule>
  </conditionalFormatting>
  <conditionalFormatting sqref="G63:AP66">
    <cfRule type="cellIs" dxfId="455" priority="85" operator="greaterThan">
      <formula>0</formula>
    </cfRule>
  </conditionalFormatting>
  <conditionalFormatting sqref="G63:AP63">
    <cfRule type="cellIs" dxfId="454" priority="83" operator="lessThan">
      <formula>0</formula>
    </cfRule>
    <cfRule type="cellIs" dxfId="453" priority="84" operator="greaterThan">
      <formula>0</formula>
    </cfRule>
  </conditionalFormatting>
  <conditionalFormatting sqref="G64">
    <cfRule type="cellIs" dxfId="452" priority="81" operator="lessThan">
      <formula>0</formula>
    </cfRule>
    <cfRule type="cellIs" dxfId="451" priority="82" operator="greaterThan">
      <formula>0</formula>
    </cfRule>
  </conditionalFormatting>
  <conditionalFormatting sqref="G65">
    <cfRule type="cellIs" dxfId="450" priority="79" operator="lessThan">
      <formula>0</formula>
    </cfRule>
    <cfRule type="cellIs" dxfId="449" priority="80" operator="greaterThan">
      <formula>0</formula>
    </cfRule>
  </conditionalFormatting>
  <conditionalFormatting sqref="G66">
    <cfRule type="cellIs" dxfId="448" priority="77" operator="lessThan">
      <formula>0</formula>
    </cfRule>
    <cfRule type="cellIs" dxfId="447" priority="78" operator="greaterThan">
      <formula>0</formula>
    </cfRule>
  </conditionalFormatting>
  <conditionalFormatting sqref="H64:AP64">
    <cfRule type="cellIs" dxfId="446" priority="75" operator="lessThan">
      <formula>0</formula>
    </cfRule>
    <cfRule type="cellIs" dxfId="445" priority="76" operator="greaterThan">
      <formula>0</formula>
    </cfRule>
  </conditionalFormatting>
  <conditionalFormatting sqref="H65:AP65">
    <cfRule type="cellIs" dxfId="444" priority="73" operator="lessThan">
      <formula>0</formula>
    </cfRule>
    <cfRule type="cellIs" dxfId="443" priority="74" operator="greaterThan">
      <formula>0</formula>
    </cfRule>
  </conditionalFormatting>
  <conditionalFormatting sqref="H66:AP66">
    <cfRule type="cellIs" dxfId="442" priority="71" operator="lessThan">
      <formula>0</formula>
    </cfRule>
    <cfRule type="cellIs" dxfId="441" priority="72" operator="greaterThan">
      <formula>0</formula>
    </cfRule>
  </conditionalFormatting>
  <conditionalFormatting sqref="H66:AP66">
    <cfRule type="cellIs" dxfId="440" priority="59" operator="lessThan">
      <formula>0</formula>
    </cfRule>
    <cfRule type="cellIs" dxfId="439" priority="60" operator="greaterThan">
      <formula>0</formula>
    </cfRule>
  </conditionalFormatting>
  <conditionalFormatting sqref="AR61:AS61">
    <cfRule type="cellIs" dxfId="438" priority="1" operator="lessThan">
      <formula>0</formula>
    </cfRule>
    <cfRule type="cellIs" dxfId="437" priority="2" operator="greaterThan">
      <formula>0</formula>
    </cfRule>
  </conditionalFormatting>
  <conditionalFormatting sqref="Q65">
    <cfRule type="cellIs" dxfId="436" priority="69" operator="lessThan">
      <formula>0</formula>
    </cfRule>
    <cfRule type="cellIs" dxfId="435" priority="70" operator="greaterThan">
      <formula>0</formula>
    </cfRule>
  </conditionalFormatting>
  <conditionalFormatting sqref="G64:AP64">
    <cfRule type="cellIs" dxfId="434" priority="67" operator="lessThan">
      <formula>0</formula>
    </cfRule>
    <cfRule type="cellIs" dxfId="433" priority="68" operator="greaterThan">
      <formula>0</formula>
    </cfRule>
  </conditionalFormatting>
  <conditionalFormatting sqref="H65:AP65">
    <cfRule type="cellIs" dxfId="432" priority="65" operator="lessThan">
      <formula>0</formula>
    </cfRule>
    <cfRule type="cellIs" dxfId="431" priority="66" operator="greaterThan">
      <formula>0</formula>
    </cfRule>
  </conditionalFormatting>
  <conditionalFormatting sqref="H65:AP65">
    <cfRule type="cellIs" dxfId="430" priority="63" operator="lessThan">
      <formula>0</formula>
    </cfRule>
    <cfRule type="cellIs" dxfId="429" priority="64" operator="greaterThan">
      <formula>0</formula>
    </cfRule>
  </conditionalFormatting>
  <conditionalFormatting sqref="H66:AP66">
    <cfRule type="cellIs" dxfId="428" priority="61" operator="lessThan">
      <formula>0</formula>
    </cfRule>
    <cfRule type="cellIs" dxfId="427" priority="62" operator="greaterThan">
      <formula>0</formula>
    </cfRule>
  </conditionalFormatting>
  <conditionalFormatting sqref="AQ63:AQ66">
    <cfRule type="cellIs" dxfId="426" priority="58" operator="greaterThan">
      <formula>0</formula>
    </cfRule>
  </conditionalFormatting>
  <conditionalFormatting sqref="AQ63">
    <cfRule type="cellIs" dxfId="425" priority="56" operator="lessThan">
      <formula>0</formula>
    </cfRule>
    <cfRule type="cellIs" dxfId="424" priority="57" operator="greaterThan">
      <formula>0</formula>
    </cfRule>
  </conditionalFormatting>
  <conditionalFormatting sqref="AQ64">
    <cfRule type="cellIs" dxfId="423" priority="54" operator="lessThan">
      <formula>0</formula>
    </cfRule>
    <cfRule type="cellIs" dxfId="422" priority="55" operator="greaterThan">
      <formula>0</formula>
    </cfRule>
  </conditionalFormatting>
  <conditionalFormatting sqref="AQ65">
    <cfRule type="cellIs" dxfId="421" priority="52" operator="lessThan">
      <formula>0</formula>
    </cfRule>
    <cfRule type="cellIs" dxfId="420" priority="53" operator="greaterThan">
      <formula>0</formula>
    </cfRule>
  </conditionalFormatting>
  <conditionalFormatting sqref="AQ66">
    <cfRule type="cellIs" dxfId="419" priority="50" operator="lessThan">
      <formula>0</formula>
    </cfRule>
    <cfRule type="cellIs" dxfId="418" priority="51" operator="greaterThan">
      <formula>0</formula>
    </cfRule>
  </conditionalFormatting>
  <conditionalFormatting sqref="AQ66">
    <cfRule type="cellIs" dxfId="417" priority="40" operator="lessThan">
      <formula>0</formula>
    </cfRule>
    <cfRule type="cellIs" dxfId="416" priority="41" operator="greaterThan">
      <formula>0</formula>
    </cfRule>
  </conditionalFormatting>
  <conditionalFormatting sqref="AQ64">
    <cfRule type="cellIs" dxfId="415" priority="48" operator="lessThan">
      <formula>0</formula>
    </cfRule>
    <cfRule type="cellIs" dxfId="414" priority="49" operator="greaterThan">
      <formula>0</formula>
    </cfRule>
  </conditionalFormatting>
  <conditionalFormatting sqref="AQ65">
    <cfRule type="cellIs" dxfId="413" priority="46" operator="lessThan">
      <formula>0</formula>
    </cfRule>
    <cfRule type="cellIs" dxfId="412" priority="47" operator="greaterThan">
      <formula>0</formula>
    </cfRule>
  </conditionalFormatting>
  <conditionalFormatting sqref="AQ65">
    <cfRule type="cellIs" dxfId="411" priority="44" operator="lessThan">
      <formula>0</formula>
    </cfRule>
    <cfRule type="cellIs" dxfId="410" priority="45" operator="greaterThan">
      <formula>0</formula>
    </cfRule>
  </conditionalFormatting>
  <conditionalFormatting sqref="AQ66">
    <cfRule type="cellIs" dxfId="409" priority="42" operator="lessThan">
      <formula>0</formula>
    </cfRule>
    <cfRule type="cellIs" dxfId="408" priority="43" operator="greaterThan">
      <formula>0</formula>
    </cfRule>
  </conditionalFormatting>
  <conditionalFormatting sqref="AQ50:AQ56">
    <cfRule type="cellIs" dxfId="407" priority="39" operator="greaterThan">
      <formula>0</formula>
    </cfRule>
  </conditionalFormatting>
  <conditionalFormatting sqref="AQ58:AQ61">
    <cfRule type="cellIs" dxfId="406" priority="38" operator="greaterThan">
      <formula>0</formula>
    </cfRule>
  </conditionalFormatting>
  <conditionalFormatting sqref="AQ58">
    <cfRule type="cellIs" dxfId="405" priority="36" operator="lessThan">
      <formula>0</formula>
    </cfRule>
    <cfRule type="cellIs" dxfId="404" priority="37" operator="greaterThan">
      <formula>0</formula>
    </cfRule>
  </conditionalFormatting>
  <conditionalFormatting sqref="AQ59">
    <cfRule type="cellIs" dxfId="403" priority="34" operator="lessThan">
      <formula>0</formula>
    </cfRule>
    <cfRule type="cellIs" dxfId="402" priority="35" operator="greaterThan">
      <formula>0</formula>
    </cfRule>
  </conditionalFormatting>
  <conditionalFormatting sqref="AQ60">
    <cfRule type="cellIs" dxfId="401" priority="32" operator="lessThan">
      <formula>0</formula>
    </cfRule>
    <cfRule type="cellIs" dxfId="400" priority="33" operator="greaterThan">
      <formula>0</formula>
    </cfRule>
  </conditionalFormatting>
  <conditionalFormatting sqref="AQ61">
    <cfRule type="cellIs" dxfId="399" priority="30" operator="lessThan">
      <formula>0</formula>
    </cfRule>
    <cfRule type="cellIs" dxfId="398" priority="31" operator="greaterThan">
      <formula>0</formula>
    </cfRule>
  </conditionalFormatting>
  <conditionalFormatting sqref="AR63:AS66">
    <cfRule type="cellIs" dxfId="397" priority="29" operator="greaterThan">
      <formula>0</formula>
    </cfRule>
  </conditionalFormatting>
  <conditionalFormatting sqref="AR63:AS63">
    <cfRule type="cellIs" dxfId="396" priority="27" operator="lessThan">
      <formula>0</formula>
    </cfRule>
    <cfRule type="cellIs" dxfId="395" priority="28" operator="greaterThan">
      <formula>0</formula>
    </cfRule>
  </conditionalFormatting>
  <conditionalFormatting sqref="AR64:AS64">
    <cfRule type="cellIs" dxfId="394" priority="25" operator="lessThan">
      <formula>0</formula>
    </cfRule>
    <cfRule type="cellIs" dxfId="393" priority="26" operator="greaterThan">
      <formula>0</formula>
    </cfRule>
  </conditionalFormatting>
  <conditionalFormatting sqref="AR65:AS65">
    <cfRule type="cellIs" dxfId="392" priority="23" operator="lessThan">
      <formula>0</formula>
    </cfRule>
    <cfRule type="cellIs" dxfId="391" priority="24" operator="greaterThan">
      <formula>0</formula>
    </cfRule>
  </conditionalFormatting>
  <conditionalFormatting sqref="AR66:AS66">
    <cfRule type="cellIs" dxfId="390" priority="21" operator="lessThan">
      <formula>0</formula>
    </cfRule>
    <cfRule type="cellIs" dxfId="389" priority="22" operator="greaterThan">
      <formula>0</formula>
    </cfRule>
  </conditionalFormatting>
  <conditionalFormatting sqref="AR66:AS66">
    <cfRule type="cellIs" dxfId="388" priority="11" operator="lessThan">
      <formula>0</formula>
    </cfRule>
    <cfRule type="cellIs" dxfId="387" priority="12" operator="greaterThan">
      <formula>0</formula>
    </cfRule>
  </conditionalFormatting>
  <conditionalFormatting sqref="AR64:AS64">
    <cfRule type="cellIs" dxfId="386" priority="19" operator="lessThan">
      <formula>0</formula>
    </cfRule>
    <cfRule type="cellIs" dxfId="385" priority="20" operator="greaterThan">
      <formula>0</formula>
    </cfRule>
  </conditionalFormatting>
  <conditionalFormatting sqref="AR65:AS65">
    <cfRule type="cellIs" dxfId="384" priority="17" operator="lessThan">
      <formula>0</formula>
    </cfRule>
    <cfRule type="cellIs" dxfId="383" priority="18" operator="greaterThan">
      <formula>0</formula>
    </cfRule>
  </conditionalFormatting>
  <conditionalFormatting sqref="AR65:AS65">
    <cfRule type="cellIs" dxfId="382" priority="15" operator="lessThan">
      <formula>0</formula>
    </cfRule>
    <cfRule type="cellIs" dxfId="381" priority="16" operator="greaterThan">
      <formula>0</formula>
    </cfRule>
  </conditionalFormatting>
  <conditionalFormatting sqref="AR66:AS66">
    <cfRule type="cellIs" dxfId="380" priority="13" operator="lessThan">
      <formula>0</formula>
    </cfRule>
    <cfRule type="cellIs" dxfId="379" priority="14" operator="greaterThan">
      <formula>0</formula>
    </cfRule>
  </conditionalFormatting>
  <conditionalFormatting sqref="AR50:AS56">
    <cfRule type="cellIs" dxfId="378" priority="10" operator="greaterThan">
      <formula>0</formula>
    </cfRule>
  </conditionalFormatting>
  <conditionalFormatting sqref="AR58:AS61">
    <cfRule type="cellIs" dxfId="377" priority="9" operator="greaterThan">
      <formula>0</formula>
    </cfRule>
  </conditionalFormatting>
  <conditionalFormatting sqref="AR58:AS58">
    <cfRule type="cellIs" dxfId="376" priority="7" operator="lessThan">
      <formula>0</formula>
    </cfRule>
    <cfRule type="cellIs" dxfId="375" priority="8" operator="greaterThan">
      <formula>0</formula>
    </cfRule>
  </conditionalFormatting>
  <conditionalFormatting sqref="AR59:AS59">
    <cfRule type="cellIs" dxfId="374" priority="5" operator="lessThan">
      <formula>0</formula>
    </cfRule>
    <cfRule type="cellIs" dxfId="373" priority="6" operator="greaterThan">
      <formula>0</formula>
    </cfRule>
  </conditionalFormatting>
  <conditionalFormatting sqref="AR60:AS60">
    <cfRule type="cellIs" dxfId="372" priority="3" operator="lessThan">
      <formula>0</formula>
    </cfRule>
    <cfRule type="cellIs" dxfId="371" priority="4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tabColor theme="3" tint="0.79998168889431442"/>
    <pageSetUpPr fitToPage="1"/>
  </sheetPr>
  <dimension ref="A1:AI388"/>
  <sheetViews>
    <sheetView zoomScale="85" zoomScaleNormal="85" workbookViewId="0">
      <pane xSplit="4" ySplit="2" topLeftCell="E3" activePane="bottomRight" state="frozen"/>
      <selection pane="topRight" activeCell="E1" sqref="E1"/>
      <selection pane="bottomLeft" activeCell="A3" sqref="A3"/>
      <selection pane="bottomRight"/>
    </sheetView>
  </sheetViews>
  <sheetFormatPr baseColWidth="10" defaultColWidth="11.42578125" defaultRowHeight="15" outlineLevelCol="1"/>
  <cols>
    <col min="1" max="1" width="34.5703125" style="617" customWidth="1"/>
    <col min="2" max="2" width="6.5703125" style="627" bestFit="1" customWidth="1"/>
    <col min="3" max="3" width="5.7109375" style="465" customWidth="1"/>
    <col min="4" max="4" width="11.28515625" style="465" customWidth="1"/>
    <col min="5" max="9" width="7" style="465" bestFit="1" customWidth="1"/>
    <col min="10" max="16" width="6.5703125" style="465" bestFit="1" customWidth="1"/>
    <col min="17" max="18" width="6.5703125" style="465" hidden="1" customWidth="1" outlineLevel="1"/>
    <col min="19" max="19" width="3.140625" style="465" hidden="1" customWidth="1" outlineLevel="1"/>
    <col min="20" max="20" width="11.28515625" style="465" customWidth="1" collapsed="1"/>
    <col min="21" max="21" width="11.28515625" style="465" customWidth="1"/>
    <col min="22" max="22" width="19.28515625" style="465" customWidth="1"/>
    <col min="23" max="23" width="9" style="465" bestFit="1" customWidth="1"/>
    <col min="24" max="24" width="4" style="465" customWidth="1"/>
    <col min="25" max="25" width="4.42578125" style="465" customWidth="1"/>
    <col min="26" max="26" width="3.85546875" style="465" customWidth="1"/>
    <col min="27" max="27" width="4.7109375" style="465" customWidth="1"/>
    <col min="28" max="28" width="3.85546875" style="465" customWidth="1"/>
    <col min="29" max="29" width="4.42578125" style="465" bestFit="1" customWidth="1"/>
    <col min="30" max="31" width="4.140625" style="465" customWidth="1"/>
    <col min="32" max="32" width="3.7109375" style="465" customWidth="1"/>
    <col min="33" max="33" width="4.7109375" style="465" bestFit="1" customWidth="1"/>
    <col min="34" max="34" width="3.5703125" style="465" customWidth="1"/>
    <col min="35" max="35" width="12.5703125" style="465" customWidth="1"/>
    <col min="36" max="45" width="18.5703125" style="465" customWidth="1"/>
    <col min="46" max="46" width="23.5703125" style="465" customWidth="1"/>
    <col min="47" max="47" width="20.5703125" style="465" customWidth="1"/>
    <col min="48" max="48" width="12.5703125" style="465" customWidth="1"/>
    <col min="49" max="49" width="27.85546875" style="465" customWidth="1"/>
    <col min="50" max="50" width="24.7109375" style="465" customWidth="1"/>
    <col min="51" max="51" width="26" style="465" customWidth="1"/>
    <col min="52" max="52" width="28.7109375" style="465" customWidth="1"/>
    <col min="53" max="53" width="25.7109375" style="465" customWidth="1"/>
    <col min="54" max="54" width="28" style="465" customWidth="1"/>
    <col min="55" max="55" width="27.7109375" style="465" customWidth="1"/>
    <col min="56" max="56" width="29.28515625" style="465" customWidth="1"/>
    <col min="57" max="57" width="26.140625" style="465" customWidth="1"/>
    <col min="58" max="58" width="27.5703125" style="465" customWidth="1"/>
    <col min="59" max="59" width="30.140625" style="465" customWidth="1"/>
    <col min="60" max="60" width="27.28515625" style="465" customWidth="1"/>
    <col min="61" max="61" width="28" style="465" customWidth="1"/>
    <col min="62" max="62" width="27.7109375" style="465" customWidth="1"/>
    <col min="63" max="63" width="29.28515625" style="465" customWidth="1"/>
    <col min="64" max="64" width="26.140625" style="465" customWidth="1"/>
    <col min="65" max="65" width="27.5703125" style="465" customWidth="1"/>
    <col min="66" max="66" width="30.140625" style="465" customWidth="1"/>
    <col min="67" max="67" width="27.28515625" style="465" customWidth="1"/>
    <col min="68" max="68" width="28" style="465" customWidth="1"/>
    <col min="69" max="69" width="27.7109375" style="465" customWidth="1"/>
    <col min="70" max="70" width="29.28515625" style="465" customWidth="1"/>
    <col min="71" max="71" width="26.140625" style="465" customWidth="1"/>
    <col min="72" max="72" width="27.5703125" style="465" customWidth="1"/>
    <col min="73" max="73" width="30.140625" style="465" customWidth="1"/>
    <col min="74" max="74" width="27.28515625" style="465" customWidth="1"/>
    <col min="75" max="75" width="28" style="465" customWidth="1"/>
    <col min="76" max="76" width="27.7109375" style="465" customWidth="1"/>
    <col min="77" max="77" width="29.28515625" style="465" customWidth="1"/>
    <col min="78" max="78" width="26.140625" style="465" customWidth="1"/>
    <col min="79" max="79" width="27.5703125" style="465" customWidth="1"/>
    <col min="80" max="80" width="30.140625" style="465" customWidth="1"/>
    <col min="81" max="81" width="27.28515625" style="465" customWidth="1"/>
    <col min="82" max="82" width="26.7109375" style="465" customWidth="1"/>
    <col min="83" max="83" width="26.42578125" style="465" customWidth="1"/>
    <col min="84" max="84" width="28" style="465" customWidth="1"/>
    <col min="85" max="85" width="24.85546875" style="465" customWidth="1"/>
    <col min="86" max="86" width="26.140625" style="465" customWidth="1"/>
    <col min="87" max="87" width="28.85546875" style="465" customWidth="1"/>
    <col min="88" max="88" width="25.85546875" style="465" customWidth="1"/>
    <col min="89" max="89" width="26.7109375" style="465" customWidth="1"/>
    <col min="90" max="90" width="26.42578125" style="465" customWidth="1"/>
    <col min="91" max="91" width="28" style="465" customWidth="1"/>
    <col min="92" max="92" width="24.85546875" style="465" customWidth="1"/>
    <col min="93" max="93" width="26.140625" style="465" customWidth="1"/>
    <col min="94" max="94" width="28.85546875" style="465" customWidth="1"/>
    <col min="95" max="95" width="25.85546875" style="465" customWidth="1"/>
    <col min="96" max="96" width="26.7109375" style="465" customWidth="1"/>
    <col min="97" max="97" width="26.42578125" style="465" customWidth="1"/>
    <col min="98" max="98" width="28" style="465" customWidth="1"/>
    <col min="99" max="99" width="24.85546875" style="465" customWidth="1"/>
    <col min="100" max="100" width="26.140625" style="465" customWidth="1"/>
    <col min="101" max="101" width="28.85546875" style="465" customWidth="1"/>
    <col min="102" max="102" width="25.85546875" style="465" customWidth="1"/>
    <col min="103" max="103" width="26.7109375" style="465" customWidth="1"/>
    <col min="104" max="104" width="26.42578125" style="465" customWidth="1"/>
    <col min="105" max="105" width="28" style="465" customWidth="1"/>
    <col min="106" max="106" width="24.85546875" style="465" customWidth="1"/>
    <col min="107" max="107" width="26.140625" style="465" customWidth="1"/>
    <col min="108" max="108" width="28.85546875" style="465" customWidth="1"/>
    <col min="109" max="109" width="25.85546875" style="465" customWidth="1"/>
    <col min="110" max="110" width="26.7109375" style="465" customWidth="1"/>
    <col min="111" max="111" width="26.42578125" style="465" customWidth="1"/>
    <col min="112" max="112" width="28" style="465" customWidth="1"/>
    <col min="113" max="113" width="23.42578125" style="465" customWidth="1"/>
    <col min="114" max="114" width="24.7109375" style="465" customWidth="1"/>
    <col min="115" max="115" width="27.42578125" style="465" customWidth="1"/>
    <col min="116" max="116" width="24.42578125" style="465" customWidth="1"/>
    <col min="117" max="117" width="25.140625" style="465" customWidth="1"/>
    <col min="118" max="118" width="24.85546875" style="465" customWidth="1"/>
    <col min="119" max="119" width="26.5703125" style="465" customWidth="1"/>
    <col min="120" max="120" width="23.42578125" style="465" customWidth="1"/>
    <col min="121" max="121" width="24.7109375" style="465" customWidth="1"/>
    <col min="122" max="122" width="27.42578125" style="465" customWidth="1"/>
    <col min="123" max="123" width="24.42578125" style="465" customWidth="1"/>
    <col min="124" max="124" width="25.140625" style="465" customWidth="1"/>
    <col min="125" max="125" width="24.85546875" style="465" customWidth="1"/>
    <col min="126" max="126" width="26.5703125" style="465" customWidth="1"/>
    <col min="127" max="127" width="23.42578125" style="465" customWidth="1"/>
    <col min="128" max="128" width="24.7109375" style="465" customWidth="1"/>
    <col min="129" max="129" width="27.42578125" style="465" customWidth="1"/>
    <col min="130" max="130" width="24.42578125" style="465" customWidth="1"/>
    <col min="131" max="131" width="25.140625" style="465" customWidth="1"/>
    <col min="132" max="132" width="24.85546875" style="465" customWidth="1"/>
    <col min="133" max="133" width="26.5703125" style="465" customWidth="1"/>
    <col min="134" max="134" width="23.42578125" style="465" customWidth="1"/>
    <col min="135" max="135" width="24.7109375" style="465" customWidth="1"/>
    <col min="136" max="136" width="27.42578125" style="465" customWidth="1"/>
    <col min="137" max="137" width="24.42578125" style="465" customWidth="1"/>
    <col min="138" max="138" width="25.140625" style="465" customWidth="1"/>
    <col min="139" max="139" width="24.85546875" style="465" customWidth="1"/>
    <col min="140" max="140" width="26.5703125" style="465" customWidth="1"/>
    <col min="141" max="141" width="23.42578125" style="465" customWidth="1"/>
    <col min="142" max="142" width="24.7109375" style="465" customWidth="1"/>
    <col min="143" max="143" width="28.28515625" style="465" customWidth="1"/>
    <col min="144" max="144" width="25.28515625" style="465" customWidth="1"/>
    <col min="145" max="145" width="26" style="465" customWidth="1"/>
    <col min="146" max="146" width="25.7109375" style="465" customWidth="1"/>
    <col min="147" max="147" width="27.42578125" style="465" customWidth="1"/>
    <col min="148" max="148" width="24.28515625" style="465" customWidth="1"/>
    <col min="149" max="149" width="25.5703125" style="465" customWidth="1"/>
    <col min="150" max="150" width="28.28515625" style="465" customWidth="1"/>
    <col min="151" max="151" width="25.28515625" style="465" customWidth="1"/>
    <col min="152" max="152" width="26" style="465" customWidth="1"/>
    <col min="153" max="153" width="25.7109375" style="465" customWidth="1"/>
    <col min="154" max="154" width="27.42578125" style="465" customWidth="1"/>
    <col min="155" max="155" width="24.28515625" style="465" customWidth="1"/>
    <col min="156" max="156" width="25.5703125" style="465" customWidth="1"/>
    <col min="157" max="157" width="28.28515625" style="465" customWidth="1"/>
    <col min="158" max="158" width="25.28515625" style="465" customWidth="1"/>
    <col min="159" max="159" width="26" style="465" customWidth="1"/>
    <col min="160" max="160" width="25.7109375" style="465" customWidth="1"/>
    <col min="161" max="161" width="27.42578125" style="465" customWidth="1"/>
    <col min="162" max="162" width="24.28515625" style="465" customWidth="1"/>
    <col min="163" max="163" width="25.5703125" style="465" customWidth="1"/>
    <col min="164" max="164" width="28.28515625" style="465" customWidth="1"/>
    <col min="165" max="165" width="25.28515625" style="465" customWidth="1"/>
    <col min="166" max="166" width="26" style="465" customWidth="1"/>
    <col min="167" max="167" width="25.7109375" style="465" customWidth="1"/>
    <col min="168" max="168" width="27.42578125" style="465" customWidth="1"/>
    <col min="169" max="169" width="24.28515625" style="465" customWidth="1"/>
    <col min="170" max="170" width="25.5703125" style="465" customWidth="1"/>
    <col min="171" max="171" width="28.28515625" style="465" customWidth="1"/>
    <col min="172" max="172" width="25.28515625" style="465" customWidth="1"/>
    <col min="173" max="173" width="26" style="465" customWidth="1"/>
    <col min="174" max="174" width="25.42578125" style="465" customWidth="1"/>
    <col min="175" max="175" width="27.140625" style="465" customWidth="1"/>
    <col min="176" max="176" width="24" style="465" customWidth="1"/>
    <col min="177" max="177" width="25.28515625" style="465" customWidth="1"/>
    <col min="178" max="178" width="28" style="465" customWidth="1"/>
    <col min="179" max="179" width="25" style="465" customWidth="1"/>
    <col min="180" max="180" width="25.7109375" style="465" customWidth="1"/>
    <col min="181" max="181" width="25.42578125" style="465" customWidth="1"/>
    <col min="182" max="182" width="27.140625" style="465" customWidth="1"/>
    <col min="183" max="183" width="24" style="465" customWidth="1"/>
    <col min="184" max="184" width="25.28515625" style="465" customWidth="1"/>
    <col min="185" max="185" width="28" style="465" customWidth="1"/>
    <col min="186" max="186" width="25" style="465" customWidth="1"/>
    <col min="187" max="187" width="25.7109375" style="465" customWidth="1"/>
    <col min="188" max="188" width="25.42578125" style="465" customWidth="1"/>
    <col min="189" max="189" width="27.140625" style="465" customWidth="1"/>
    <col min="190" max="190" width="24" style="465" customWidth="1"/>
    <col min="191" max="191" width="25.28515625" style="465" customWidth="1"/>
    <col min="192" max="192" width="28" style="465" customWidth="1"/>
    <col min="193" max="193" width="25" style="465" customWidth="1"/>
    <col min="194" max="194" width="25.7109375" style="465" customWidth="1"/>
    <col min="195" max="195" width="25.42578125" style="465" customWidth="1"/>
    <col min="196" max="196" width="27.140625" style="465" customWidth="1"/>
    <col min="197" max="197" width="24" style="465" customWidth="1"/>
    <col min="198" max="198" width="25.28515625" style="465" customWidth="1"/>
    <col min="199" max="199" width="28" style="465" customWidth="1"/>
    <col min="200" max="200" width="25" style="465" customWidth="1"/>
    <col min="201" max="201" width="25.7109375" style="465" customWidth="1"/>
    <col min="202" max="202" width="25.42578125" style="465" customWidth="1"/>
    <col min="203" max="203" width="27.140625" style="465" customWidth="1"/>
    <col min="204" max="204" width="23.42578125" style="465" customWidth="1"/>
    <col min="205" max="205" width="24.7109375" style="465" customWidth="1"/>
    <col min="206" max="206" width="27.42578125" style="465" customWidth="1"/>
    <col min="207" max="207" width="24.42578125" style="465" customWidth="1"/>
    <col min="208" max="208" width="25.140625" style="465" customWidth="1"/>
    <col min="209" max="209" width="24.85546875" style="465" customWidth="1"/>
    <col min="210" max="210" width="26.5703125" style="465" customWidth="1"/>
    <col min="211" max="211" width="23.42578125" style="465" customWidth="1"/>
    <col min="212" max="212" width="24.7109375" style="465" customWidth="1"/>
    <col min="213" max="213" width="27.42578125" style="465" customWidth="1"/>
    <col min="214" max="214" width="24.42578125" style="465" customWidth="1"/>
    <col min="215" max="215" width="25.140625" style="465" customWidth="1"/>
    <col min="216" max="216" width="24.85546875" style="465" customWidth="1"/>
    <col min="217" max="217" width="26.5703125" style="465" customWidth="1"/>
    <col min="218" max="218" width="23.42578125" style="465" customWidth="1"/>
    <col min="219" max="219" width="24.7109375" style="465" customWidth="1"/>
    <col min="220" max="220" width="27.42578125" style="465" customWidth="1"/>
    <col min="221" max="221" width="24.42578125" style="465" customWidth="1"/>
    <col min="222" max="222" width="25.140625" style="465" customWidth="1"/>
    <col min="223" max="223" width="24.85546875" style="465" customWidth="1"/>
    <col min="224" max="224" width="26.5703125" style="465" customWidth="1"/>
    <col min="225" max="225" width="23.42578125" style="465" customWidth="1"/>
    <col min="226" max="226" width="24.7109375" style="465" customWidth="1"/>
    <col min="227" max="227" width="27.42578125" style="465" customWidth="1"/>
    <col min="228" max="228" width="24.42578125" style="465" customWidth="1"/>
    <col min="229" max="229" width="25.140625" style="465" customWidth="1"/>
    <col min="230" max="230" width="24.85546875" style="465" customWidth="1"/>
    <col min="231" max="231" width="26.5703125" style="465" customWidth="1"/>
    <col min="232" max="232" width="23.42578125" style="465" customWidth="1"/>
    <col min="233" max="233" width="24.7109375" style="465" customWidth="1"/>
    <col min="234" max="234" width="27.42578125" style="465" customWidth="1"/>
    <col min="235" max="235" width="26.42578125" style="465" customWidth="1"/>
    <col min="236" max="236" width="27.140625" style="465" customWidth="1"/>
    <col min="237" max="237" width="26.85546875" style="465" customWidth="1"/>
    <col min="238" max="238" width="28.42578125" style="465" customWidth="1"/>
    <col min="239" max="239" width="25.28515625" style="465" customWidth="1"/>
    <col min="240" max="240" width="26.7109375" style="465" customWidth="1"/>
    <col min="241" max="241" width="29.28515625" style="465" customWidth="1"/>
    <col min="242" max="242" width="26.42578125" style="465" customWidth="1"/>
    <col min="243" max="243" width="27.140625" style="465" customWidth="1"/>
    <col min="244" max="244" width="26.85546875" style="465" customWidth="1"/>
    <col min="245" max="245" width="28.42578125" style="465" customWidth="1"/>
    <col min="246" max="246" width="25.28515625" style="465" customWidth="1"/>
    <col min="247" max="247" width="26.7109375" style="465" customWidth="1"/>
    <col min="248" max="248" width="29.28515625" style="465" customWidth="1"/>
    <col min="249" max="249" width="26.42578125" style="465" customWidth="1"/>
    <col min="250" max="250" width="27.140625" style="465" customWidth="1"/>
    <col min="251" max="251" width="26.85546875" style="465" customWidth="1"/>
    <col min="252" max="252" width="28.42578125" style="465" customWidth="1"/>
    <col min="253" max="253" width="25.28515625" style="465" customWidth="1"/>
    <col min="254" max="254" width="26.7109375" style="465" customWidth="1"/>
    <col min="255" max="255" width="29.28515625" style="465" customWidth="1"/>
    <col min="256" max="256" width="26.42578125" style="465" customWidth="1"/>
    <col min="257" max="257" width="27.140625" style="465" customWidth="1"/>
    <col min="258" max="258" width="26.85546875" style="465" customWidth="1"/>
    <col min="259" max="259" width="28.42578125" style="465" customWidth="1"/>
    <col min="260" max="260" width="25.28515625" style="465" customWidth="1"/>
    <col min="261" max="261" width="26.7109375" style="465" customWidth="1"/>
    <col min="262" max="262" width="29.28515625" style="465" customWidth="1"/>
    <col min="263" max="263" width="26.42578125" style="465" customWidth="1"/>
    <col min="264" max="264" width="27.140625" style="465" customWidth="1"/>
    <col min="265" max="265" width="26.85546875" style="465" customWidth="1"/>
    <col min="266" max="266" width="33" style="465" customWidth="1"/>
    <col min="267" max="267" width="29.85546875" style="465" customWidth="1"/>
    <col min="268" max="268" width="31.140625" style="465" customWidth="1"/>
    <col min="269" max="269" width="33.85546875" style="465" bestFit="1" customWidth="1"/>
    <col min="270" max="270" width="30.85546875" style="465" customWidth="1"/>
    <col min="271" max="271" width="31.7109375" style="465" customWidth="1"/>
    <col min="272" max="272" width="31.28515625" style="465" customWidth="1"/>
    <col min="273" max="273" width="33" style="465" customWidth="1"/>
    <col min="274" max="274" width="29.85546875" style="465" customWidth="1"/>
    <col min="275" max="275" width="31.140625" style="465" customWidth="1"/>
    <col min="276" max="276" width="33.85546875" style="465" bestFit="1" customWidth="1"/>
    <col min="277" max="277" width="30.85546875" style="465" customWidth="1"/>
    <col min="278" max="278" width="31.7109375" style="465" customWidth="1"/>
    <col min="279" max="279" width="31.28515625" style="465" customWidth="1"/>
    <col min="280" max="280" width="33" style="465" customWidth="1"/>
    <col min="281" max="281" width="29.85546875" style="465" customWidth="1"/>
    <col min="282" max="282" width="31.140625" style="465" customWidth="1"/>
    <col min="283" max="283" width="33.85546875" style="465" bestFit="1" customWidth="1"/>
    <col min="284" max="284" width="30.85546875" style="465" customWidth="1"/>
    <col min="285" max="285" width="31.7109375" style="465" customWidth="1"/>
    <col min="286" max="286" width="31.28515625" style="465" customWidth="1"/>
    <col min="287" max="287" width="33" style="465" customWidth="1"/>
    <col min="288" max="288" width="29.85546875" style="465" customWidth="1"/>
    <col min="289" max="289" width="31.140625" style="465" customWidth="1"/>
    <col min="290" max="290" width="33.85546875" style="465" bestFit="1" customWidth="1"/>
    <col min="291" max="291" width="30.85546875" style="465" customWidth="1"/>
    <col min="292" max="292" width="31.7109375" style="465" customWidth="1"/>
    <col min="293" max="293" width="31.28515625" style="465" customWidth="1"/>
    <col min="294" max="294" width="33" style="465" customWidth="1"/>
    <col min="295" max="295" width="29.85546875" style="465" customWidth="1"/>
    <col min="296" max="296" width="27.7109375" style="465" customWidth="1"/>
    <col min="297" max="297" width="30.28515625" style="465" customWidth="1"/>
    <col min="298" max="298" width="27.42578125" style="465" customWidth="1"/>
    <col min="299" max="299" width="28.140625" style="465" customWidth="1"/>
    <col min="300" max="300" width="27.85546875" style="465" customWidth="1"/>
    <col min="301" max="301" width="29.42578125" style="465" customWidth="1"/>
    <col min="302" max="302" width="26.42578125" style="465" customWidth="1"/>
    <col min="303" max="303" width="27.7109375" style="465" customWidth="1"/>
    <col min="304" max="304" width="30.28515625" style="465" customWidth="1"/>
    <col min="305" max="305" width="27.42578125" style="465" customWidth="1"/>
    <col min="306" max="306" width="28.140625" style="465" customWidth="1"/>
    <col min="307" max="307" width="27.85546875" style="465" customWidth="1"/>
    <col min="308" max="308" width="29.42578125" style="465" customWidth="1"/>
    <col min="309" max="309" width="26.42578125" style="465" customWidth="1"/>
    <col min="310" max="310" width="27.7109375" style="465" customWidth="1"/>
    <col min="311" max="311" width="30.28515625" style="465" customWidth="1"/>
    <col min="312" max="312" width="27.42578125" style="465" customWidth="1"/>
    <col min="313" max="313" width="28.140625" style="465" customWidth="1"/>
    <col min="314" max="314" width="27.85546875" style="465" customWidth="1"/>
    <col min="315" max="315" width="29.42578125" style="465" customWidth="1"/>
    <col min="316" max="316" width="26.42578125" style="465" customWidth="1"/>
    <col min="317" max="317" width="27.7109375" style="465" customWidth="1"/>
    <col min="318" max="318" width="30.28515625" style="465" customWidth="1"/>
    <col min="319" max="319" width="27.42578125" style="465" customWidth="1"/>
    <col min="320" max="320" width="28.140625" style="465" customWidth="1"/>
    <col min="321" max="321" width="27.85546875" style="465" customWidth="1"/>
    <col min="322" max="322" width="29.42578125" style="465" customWidth="1"/>
    <col min="323" max="323" width="26.42578125" style="465" customWidth="1"/>
    <col min="324" max="324" width="27.7109375" style="465" customWidth="1"/>
    <col min="325" max="325" width="30.28515625" style="465" customWidth="1"/>
    <col min="326" max="326" width="27.42578125" style="465" customWidth="1"/>
    <col min="327" max="327" width="31" style="465" customWidth="1"/>
    <col min="328" max="328" width="30.7109375" style="465" customWidth="1"/>
    <col min="329" max="329" width="32.42578125" style="465" customWidth="1"/>
    <col min="330" max="330" width="29.28515625" style="465" customWidth="1"/>
    <col min="331" max="331" width="30.5703125" style="465" customWidth="1"/>
    <col min="332" max="332" width="33.28515625" style="465" customWidth="1"/>
    <col min="333" max="333" width="30.28515625" style="465" customWidth="1"/>
    <col min="334" max="334" width="31" style="465" customWidth="1"/>
    <col min="335" max="335" width="30.7109375" style="465" customWidth="1"/>
    <col min="336" max="336" width="32.42578125" style="465" customWidth="1"/>
    <col min="337" max="337" width="29.28515625" style="465" customWidth="1"/>
    <col min="338" max="338" width="30.5703125" style="465" customWidth="1"/>
    <col min="339" max="339" width="33.28515625" style="465" customWidth="1"/>
    <col min="340" max="340" width="30.28515625" style="465" customWidth="1"/>
    <col min="341" max="341" width="31" style="465" customWidth="1"/>
    <col min="342" max="342" width="30.7109375" style="465" customWidth="1"/>
    <col min="343" max="343" width="32.42578125" style="465" customWidth="1"/>
    <col min="344" max="344" width="29.28515625" style="465" customWidth="1"/>
    <col min="345" max="345" width="30.5703125" style="465" customWidth="1"/>
    <col min="346" max="346" width="33.28515625" style="465" customWidth="1"/>
    <col min="347" max="347" width="30.28515625" style="465" customWidth="1"/>
    <col min="348" max="348" width="31" style="465" customWidth="1"/>
    <col min="349" max="349" width="30.7109375" style="465" customWidth="1"/>
    <col min="350" max="350" width="32.42578125" style="465" customWidth="1"/>
    <col min="351" max="351" width="29.28515625" style="465" customWidth="1"/>
    <col min="352" max="352" width="30.5703125" style="465" customWidth="1"/>
    <col min="353" max="353" width="33.28515625" style="465" customWidth="1"/>
    <col min="354" max="354" width="30.28515625" style="465" customWidth="1"/>
    <col min="355" max="355" width="31" style="465" customWidth="1"/>
    <col min="356" max="356" width="30.7109375" style="465" customWidth="1"/>
    <col min="357" max="357" width="31.7109375" style="465" customWidth="1"/>
    <col min="358" max="358" width="28.5703125" style="465" customWidth="1"/>
    <col min="359" max="359" width="29.85546875" style="465" customWidth="1"/>
    <col min="360" max="360" width="32.5703125" style="465" customWidth="1"/>
    <col min="361" max="361" width="29.5703125" style="465" customWidth="1"/>
    <col min="362" max="362" width="30.28515625" style="465" customWidth="1"/>
    <col min="363" max="363" width="30" style="465" customWidth="1"/>
    <col min="364" max="364" width="31.7109375" style="465" customWidth="1"/>
    <col min="365" max="365" width="28.5703125" style="465" customWidth="1"/>
    <col min="366" max="366" width="29.85546875" style="465" customWidth="1"/>
    <col min="367" max="367" width="32.5703125" style="465" customWidth="1"/>
    <col min="368" max="368" width="29.5703125" style="465" customWidth="1"/>
    <col min="369" max="369" width="30.28515625" style="465" customWidth="1"/>
    <col min="370" max="370" width="30" style="465" customWidth="1"/>
    <col min="371" max="371" width="31.7109375" style="465" customWidth="1"/>
    <col min="372" max="372" width="28.5703125" style="465" customWidth="1"/>
    <col min="373" max="373" width="29.85546875" style="465" customWidth="1"/>
    <col min="374" max="374" width="32.5703125" style="465" customWidth="1"/>
    <col min="375" max="375" width="29.5703125" style="465" customWidth="1"/>
    <col min="376" max="376" width="30.28515625" style="465" customWidth="1"/>
    <col min="377" max="377" width="30" style="465" customWidth="1"/>
    <col min="378" max="378" width="31.7109375" style="465" customWidth="1"/>
    <col min="379" max="379" width="28.5703125" style="465" customWidth="1"/>
    <col min="380" max="380" width="29.85546875" style="465" customWidth="1"/>
    <col min="381" max="381" width="32.5703125" style="465" customWidth="1"/>
    <col min="382" max="382" width="29.5703125" style="465" customWidth="1"/>
    <col min="383" max="383" width="30.28515625" style="465" customWidth="1"/>
    <col min="384" max="384" width="30" style="465" customWidth="1"/>
    <col min="385" max="385" width="31.7109375" style="465" customWidth="1"/>
    <col min="386" max="386" width="28.5703125" style="465" customWidth="1"/>
    <col min="387" max="387" width="29.85546875" style="465" bestFit="1" customWidth="1"/>
    <col min="388" max="388" width="12.5703125" style="465" bestFit="1" customWidth="1"/>
    <col min="389" max="16384" width="11.42578125" style="465"/>
  </cols>
  <sheetData>
    <row r="1" spans="1:27">
      <c r="A1" s="627"/>
      <c r="D1" s="465" t="s">
        <v>576</v>
      </c>
      <c r="E1" s="618">
        <f>+Catálogo!$C$6</f>
        <v>0</v>
      </c>
      <c r="F1" s="618">
        <f>+Catálogo!$C7</f>
        <v>0</v>
      </c>
      <c r="G1" s="618">
        <f>+Catálogo!$C8</f>
        <v>0</v>
      </c>
      <c r="H1" s="618">
        <f>+Catálogo!$C9</f>
        <v>0</v>
      </c>
      <c r="I1" s="618">
        <f>+Catálogo!$C10</f>
        <v>0</v>
      </c>
      <c r="J1" s="618">
        <f>+Catálogo!$C11</f>
        <v>0</v>
      </c>
      <c r="K1" s="618">
        <f>+Catálogo!$C12</f>
        <v>0</v>
      </c>
      <c r="L1" s="618">
        <f>+Catálogo!$C13</f>
        <v>0</v>
      </c>
      <c r="M1" s="618">
        <f>+Catálogo!$C14</f>
        <v>0</v>
      </c>
      <c r="N1" s="618">
        <f>+Catálogo!$C15</f>
        <v>0</v>
      </c>
      <c r="O1" s="618">
        <f>+Catálogo!$C16</f>
        <v>0</v>
      </c>
      <c r="P1" s="618">
        <f>+Catálogo!$C17</f>
        <v>0</v>
      </c>
      <c r="Q1" s="618">
        <f>+Catálogo!$C18</f>
        <v>0</v>
      </c>
      <c r="R1" s="618">
        <f>+Catálogo!$C19</f>
        <v>0</v>
      </c>
      <c r="S1" s="618">
        <f>+Catálogo!$C20</f>
        <v>0</v>
      </c>
    </row>
    <row r="2" spans="1:27" ht="30">
      <c r="A2" s="617" t="s">
        <v>577</v>
      </c>
      <c r="B2" s="627" t="s">
        <v>478</v>
      </c>
      <c r="C2" s="628" t="s">
        <v>578</v>
      </c>
      <c r="D2" s="465" t="s">
        <v>579</v>
      </c>
      <c r="E2" s="630">
        <f>+Catálogo!$B$6</f>
        <v>0</v>
      </c>
      <c r="F2" s="619">
        <f>+Catálogo!$B7</f>
        <v>0</v>
      </c>
      <c r="G2" s="619">
        <f>+Catálogo!$B8</f>
        <v>0</v>
      </c>
      <c r="H2" s="619">
        <f>+Catálogo!$B9</f>
        <v>0</v>
      </c>
      <c r="I2" s="619">
        <f>+Catálogo!$B10</f>
        <v>0</v>
      </c>
      <c r="J2" s="619">
        <f>+Catálogo!$B11</f>
        <v>0</v>
      </c>
      <c r="K2" s="619">
        <f>+Catálogo!$B12</f>
        <v>0</v>
      </c>
      <c r="L2" s="619">
        <f>+Catálogo!$B13</f>
        <v>0</v>
      </c>
      <c r="M2" s="619">
        <f>+Catálogo!$B14</f>
        <v>0</v>
      </c>
      <c r="N2" s="619">
        <f>+Catálogo!$B15</f>
        <v>0</v>
      </c>
      <c r="O2" s="619">
        <f>+Catálogo!$B16</f>
        <v>0</v>
      </c>
      <c r="P2" s="619">
        <f>+Catálogo!$B17</f>
        <v>0</v>
      </c>
      <c r="Q2" s="619">
        <f>+Catálogo!$B18</f>
        <v>0</v>
      </c>
      <c r="R2" s="619">
        <f>+Catálogo!$B19</f>
        <v>0</v>
      </c>
      <c r="S2" s="619">
        <f>+Catálogo!$B20</f>
        <v>0</v>
      </c>
      <c r="T2" s="620" t="s">
        <v>580</v>
      </c>
    </row>
    <row r="3" spans="1:27">
      <c r="A3" s="617">
        <f>+Cuestionario!C11</f>
        <v>44197</v>
      </c>
      <c r="B3" s="629">
        <f>MONTH(A3)</f>
        <v>1</v>
      </c>
      <c r="C3" s="465">
        <f>WEEKDAY(A3,2)</f>
        <v>5</v>
      </c>
      <c r="D3" s="465" t="str">
        <f>IF(OR(C3=$X$4,C3=$X$3,A3=$W$6,A3=$W$7,A3=$W$8,A3=$W$9,A3=$W$10,A3=$W$11,A3=$W$12,A3=$W$13,A3=$W$14,A3=$W$15,A3=$W$16,A3=$W$17,A3=$W$18,A3=$W$19,A3=$W$20),"Festivo","Laboral")</f>
        <v>Festivo</v>
      </c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626"/>
      <c r="P3" s="626"/>
      <c r="Q3" s="626"/>
      <c r="R3" s="626"/>
      <c r="S3" s="626"/>
      <c r="T3" s="618">
        <f>SUMPRODUCT(E3:S3,E$1:S$1)</f>
        <v>0</v>
      </c>
      <c r="V3" s="465" t="s">
        <v>581</v>
      </c>
      <c r="W3" s="465" t="s">
        <v>512</v>
      </c>
      <c r="X3" s="626">
        <v>6</v>
      </c>
    </row>
    <row r="4" spans="1:27">
      <c r="A4" s="617">
        <f>+A3+1</f>
        <v>44198</v>
      </c>
      <c r="B4" s="629">
        <f t="shared" ref="B4:B67" si="0">MONTH(A4)</f>
        <v>1</v>
      </c>
      <c r="C4" s="465">
        <f t="shared" ref="C4:C67" si="1">WEEKDAY(A4,2)</f>
        <v>6</v>
      </c>
      <c r="D4" s="465" t="str">
        <f t="shared" ref="D4:D67" si="2">IF(OR(C4=$X$4,C4=$X$3,A4=$W$6,A4=$W$7,A4=$W$8,A4=$W$9,A4=$W$10,A4=$W$11,A4=$W$12,A4=$W$13,A4=$W$14,A4=$W$15,A4=$W$16,A4=$W$17,A4=$W$18,A4=$W$19,A4=$W$20),"Festivo","Laboral")</f>
        <v>Festivo</v>
      </c>
      <c r="E4" s="626"/>
      <c r="F4" s="626"/>
      <c r="G4" s="626"/>
      <c r="H4" s="626"/>
      <c r="I4" s="626"/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18">
        <f t="shared" ref="T4:T67" si="3">SUMPRODUCT(E4:S4,E$1:S$1)</f>
        <v>0</v>
      </c>
      <c r="W4" s="465" t="s">
        <v>513</v>
      </c>
      <c r="X4" s="626">
        <v>7</v>
      </c>
    </row>
    <row r="5" spans="1:27">
      <c r="A5" s="617">
        <f t="shared" ref="A5:A68" si="4">+A4+1</f>
        <v>44199</v>
      </c>
      <c r="B5" s="629">
        <f t="shared" si="0"/>
        <v>1</v>
      </c>
      <c r="C5" s="465">
        <f t="shared" si="1"/>
        <v>7</v>
      </c>
      <c r="D5" s="465" t="str">
        <f t="shared" si="2"/>
        <v>Festivo</v>
      </c>
      <c r="E5" s="626"/>
      <c r="F5" s="626"/>
      <c r="G5" s="626"/>
      <c r="H5" s="626"/>
      <c r="I5" s="626"/>
      <c r="J5" s="626"/>
      <c r="K5" s="626"/>
      <c r="L5" s="626"/>
      <c r="M5" s="626"/>
      <c r="N5" s="626"/>
      <c r="O5" s="626"/>
      <c r="P5" s="626"/>
      <c r="Q5" s="626"/>
      <c r="R5" s="626"/>
      <c r="S5" s="626"/>
      <c r="T5" s="618">
        <f t="shared" si="3"/>
        <v>0</v>
      </c>
      <c r="AA5" s="465" t="s">
        <v>46</v>
      </c>
    </row>
    <row r="6" spans="1:27">
      <c r="A6" s="617">
        <f t="shared" si="4"/>
        <v>44200</v>
      </c>
      <c r="B6" s="629">
        <f t="shared" si="0"/>
        <v>1</v>
      </c>
      <c r="C6" s="465">
        <f t="shared" si="1"/>
        <v>1</v>
      </c>
      <c r="D6" s="465" t="str">
        <f t="shared" si="2"/>
        <v>Laboral</v>
      </c>
      <c r="E6" s="626"/>
      <c r="F6" s="626"/>
      <c r="G6" s="626"/>
      <c r="H6" s="626"/>
      <c r="I6" s="626"/>
      <c r="J6" s="626"/>
      <c r="K6" s="626"/>
      <c r="L6" s="626"/>
      <c r="M6" s="626"/>
      <c r="N6" s="626"/>
      <c r="O6" s="626"/>
      <c r="P6" s="626"/>
      <c r="Q6" s="626"/>
      <c r="R6" s="626"/>
      <c r="S6" s="626"/>
      <c r="T6" s="618">
        <f t="shared" si="3"/>
        <v>0</v>
      </c>
      <c r="V6" s="465" t="s">
        <v>582</v>
      </c>
      <c r="W6" s="621">
        <v>44197</v>
      </c>
      <c r="X6" s="695" t="s">
        <v>844</v>
      </c>
    </row>
    <row r="7" spans="1:27">
      <c r="A7" s="617">
        <f t="shared" si="4"/>
        <v>44201</v>
      </c>
      <c r="B7" s="629">
        <f t="shared" si="0"/>
        <v>1</v>
      </c>
      <c r="C7" s="465">
        <f t="shared" si="1"/>
        <v>2</v>
      </c>
      <c r="D7" s="465" t="str">
        <f t="shared" si="2"/>
        <v>Laboral</v>
      </c>
      <c r="E7" s="626"/>
      <c r="F7" s="626"/>
      <c r="G7" s="626"/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6"/>
      <c r="T7" s="618">
        <f t="shared" si="3"/>
        <v>0</v>
      </c>
      <c r="W7" s="621">
        <v>44202</v>
      </c>
      <c r="X7" s="695" t="s">
        <v>831</v>
      </c>
    </row>
    <row r="8" spans="1:27">
      <c r="A8" s="617">
        <f t="shared" si="4"/>
        <v>44202</v>
      </c>
      <c r="B8" s="629">
        <f t="shared" si="0"/>
        <v>1</v>
      </c>
      <c r="C8" s="465">
        <f t="shared" si="1"/>
        <v>3</v>
      </c>
      <c r="D8" s="465" t="str">
        <f t="shared" si="2"/>
        <v>Festivo</v>
      </c>
      <c r="E8" s="626"/>
      <c r="F8" s="626"/>
      <c r="G8" s="626"/>
      <c r="H8" s="626"/>
      <c r="I8" s="626"/>
      <c r="J8" s="626"/>
      <c r="K8" s="626"/>
      <c r="L8" s="626"/>
      <c r="M8" s="626"/>
      <c r="N8" s="626"/>
      <c r="O8" s="626"/>
      <c r="P8" s="626"/>
      <c r="Q8" s="626"/>
      <c r="R8" s="626"/>
      <c r="S8" s="626"/>
      <c r="T8" s="618">
        <f t="shared" si="3"/>
        <v>0</v>
      </c>
      <c r="W8" s="621">
        <v>44288</v>
      </c>
      <c r="X8" s="695" t="s">
        <v>832</v>
      </c>
    </row>
    <row r="9" spans="1:27">
      <c r="A9" s="617">
        <f t="shared" si="4"/>
        <v>44203</v>
      </c>
      <c r="B9" s="629">
        <f t="shared" si="0"/>
        <v>1</v>
      </c>
      <c r="C9" s="465">
        <f t="shared" si="1"/>
        <v>4</v>
      </c>
      <c r="D9" s="465" t="str">
        <f t="shared" si="2"/>
        <v>Laboral</v>
      </c>
      <c r="E9" s="626"/>
      <c r="F9" s="626"/>
      <c r="G9" s="626"/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6"/>
      <c r="T9" s="618">
        <f t="shared" si="3"/>
        <v>0</v>
      </c>
      <c r="W9" s="621">
        <v>44291</v>
      </c>
      <c r="X9" s="695" t="s">
        <v>833</v>
      </c>
    </row>
    <row r="10" spans="1:27">
      <c r="A10" s="617">
        <f t="shared" si="4"/>
        <v>44204</v>
      </c>
      <c r="B10" s="629">
        <f t="shared" si="0"/>
        <v>1</v>
      </c>
      <c r="C10" s="465">
        <f t="shared" si="1"/>
        <v>5</v>
      </c>
      <c r="D10" s="465" t="str">
        <f t="shared" si="2"/>
        <v>Laboral</v>
      </c>
      <c r="E10" s="626"/>
      <c r="F10" s="626"/>
      <c r="G10" s="626"/>
      <c r="H10" s="626"/>
      <c r="I10" s="626"/>
      <c r="J10" s="626"/>
      <c r="K10" s="626"/>
      <c r="L10" s="626"/>
      <c r="M10" s="626"/>
      <c r="N10" s="626"/>
      <c r="O10" s="626"/>
      <c r="P10" s="626"/>
      <c r="Q10" s="626"/>
      <c r="R10" s="626"/>
      <c r="S10" s="626"/>
      <c r="T10" s="618">
        <f t="shared" si="3"/>
        <v>0</v>
      </c>
      <c r="W10" s="621">
        <v>44317</v>
      </c>
      <c r="X10" s="695" t="s">
        <v>834</v>
      </c>
    </row>
    <row r="11" spans="1:27">
      <c r="A11" s="617">
        <f t="shared" si="4"/>
        <v>44205</v>
      </c>
      <c r="B11" s="629">
        <f t="shared" si="0"/>
        <v>1</v>
      </c>
      <c r="C11" s="465">
        <f t="shared" si="1"/>
        <v>6</v>
      </c>
      <c r="D11" s="465" t="str">
        <f t="shared" si="2"/>
        <v>Festivo</v>
      </c>
      <c r="E11" s="626"/>
      <c r="F11" s="626"/>
      <c r="G11" s="626"/>
      <c r="H11" s="626"/>
      <c r="I11" s="626"/>
      <c r="J11" s="626"/>
      <c r="K11" s="626"/>
      <c r="L11" s="626"/>
      <c r="M11" s="626"/>
      <c r="N11" s="626"/>
      <c r="O11" s="626"/>
      <c r="P11" s="626"/>
      <c r="Q11" s="626"/>
      <c r="R11" s="626"/>
      <c r="S11" s="626"/>
      <c r="T11" s="618">
        <f t="shared" si="3"/>
        <v>0</v>
      </c>
      <c r="W11" s="621">
        <v>44348</v>
      </c>
      <c r="X11" s="622" t="s">
        <v>835</v>
      </c>
    </row>
    <row r="12" spans="1:27">
      <c r="A12" s="617">
        <f t="shared" si="4"/>
        <v>44206</v>
      </c>
      <c r="B12" s="629">
        <f t="shared" si="0"/>
        <v>1</v>
      </c>
      <c r="C12" s="465">
        <f t="shared" si="1"/>
        <v>7</v>
      </c>
      <c r="D12" s="465" t="str">
        <f t="shared" si="2"/>
        <v>Festivo</v>
      </c>
      <c r="E12" s="626"/>
      <c r="F12" s="626"/>
      <c r="G12" s="626"/>
      <c r="H12" s="626"/>
      <c r="I12" s="626"/>
      <c r="J12" s="626"/>
      <c r="K12" s="626"/>
      <c r="L12" s="626"/>
      <c r="M12" s="626"/>
      <c r="N12" s="626"/>
      <c r="O12" s="626"/>
      <c r="P12" s="626"/>
      <c r="Q12" s="626"/>
      <c r="R12" s="626"/>
      <c r="S12" s="626"/>
      <c r="T12" s="618">
        <f t="shared" si="3"/>
        <v>0</v>
      </c>
      <c r="W12" s="621">
        <v>44359</v>
      </c>
      <c r="X12" s="622" t="s">
        <v>836</v>
      </c>
    </row>
    <row r="13" spans="1:27">
      <c r="A13" s="617">
        <f t="shared" si="4"/>
        <v>44207</v>
      </c>
      <c r="B13" s="629">
        <f t="shared" si="0"/>
        <v>1</v>
      </c>
      <c r="C13" s="465">
        <f t="shared" si="1"/>
        <v>1</v>
      </c>
      <c r="D13" s="465" t="str">
        <f t="shared" si="2"/>
        <v>Laboral</v>
      </c>
      <c r="E13" s="626"/>
      <c r="F13" s="626"/>
      <c r="G13" s="626"/>
      <c r="H13" s="626"/>
      <c r="I13" s="626"/>
      <c r="J13" s="626"/>
      <c r="K13" s="626"/>
      <c r="L13" s="626"/>
      <c r="M13" s="626"/>
      <c r="N13" s="626"/>
      <c r="O13" s="626"/>
      <c r="P13" s="626"/>
      <c r="Q13" s="626"/>
      <c r="R13" s="626"/>
      <c r="S13" s="626"/>
      <c r="T13" s="618">
        <f t="shared" si="3"/>
        <v>0</v>
      </c>
      <c r="W13" s="621">
        <v>44371</v>
      </c>
      <c r="X13" s="695" t="s">
        <v>837</v>
      </c>
    </row>
    <row r="14" spans="1:27">
      <c r="A14" s="617">
        <f t="shared" si="4"/>
        <v>44208</v>
      </c>
      <c r="B14" s="629">
        <f t="shared" si="0"/>
        <v>1</v>
      </c>
      <c r="C14" s="465">
        <f t="shared" si="1"/>
        <v>2</v>
      </c>
      <c r="D14" s="465" t="str">
        <f t="shared" si="2"/>
        <v>Laboral</v>
      </c>
      <c r="E14" s="626"/>
      <c r="F14" s="626"/>
      <c r="G14" s="626"/>
      <c r="H14" s="626"/>
      <c r="I14" s="626"/>
      <c r="J14" s="626"/>
      <c r="K14" s="626"/>
      <c r="L14" s="626"/>
      <c r="M14" s="626"/>
      <c r="N14" s="626"/>
      <c r="O14" s="626"/>
      <c r="P14" s="626"/>
      <c r="Q14" s="626"/>
      <c r="R14" s="626"/>
      <c r="S14" s="626"/>
      <c r="T14" s="618">
        <f t="shared" si="3"/>
        <v>0</v>
      </c>
      <c r="W14" s="621">
        <v>44450</v>
      </c>
      <c r="X14" s="695" t="s">
        <v>838</v>
      </c>
    </row>
    <row r="15" spans="1:27">
      <c r="A15" s="617">
        <f t="shared" si="4"/>
        <v>44209</v>
      </c>
      <c r="B15" s="629">
        <f t="shared" si="0"/>
        <v>1</v>
      </c>
      <c r="C15" s="465">
        <f t="shared" si="1"/>
        <v>3</v>
      </c>
      <c r="D15" s="465" t="str">
        <f t="shared" si="2"/>
        <v>Laboral</v>
      </c>
      <c r="E15" s="626"/>
      <c r="F15" s="626"/>
      <c r="G15" s="626"/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6"/>
      <c r="T15" s="618">
        <f t="shared" si="3"/>
        <v>0</v>
      </c>
      <c r="W15" s="621">
        <v>44481</v>
      </c>
      <c r="X15" s="695" t="s">
        <v>839</v>
      </c>
    </row>
    <row r="16" spans="1:27">
      <c r="A16" s="617">
        <f t="shared" si="4"/>
        <v>44210</v>
      </c>
      <c r="B16" s="629">
        <f t="shared" si="0"/>
        <v>1</v>
      </c>
      <c r="C16" s="465">
        <f t="shared" si="1"/>
        <v>4</v>
      </c>
      <c r="D16" s="465" t="str">
        <f t="shared" si="2"/>
        <v>Laboral</v>
      </c>
      <c r="E16" s="626"/>
      <c r="F16" s="626"/>
      <c r="G16" s="626"/>
      <c r="H16" s="626"/>
      <c r="I16" s="626"/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18">
        <f t="shared" si="3"/>
        <v>0</v>
      </c>
      <c r="W16" s="621">
        <v>44197</v>
      </c>
      <c r="X16" s="695" t="s">
        <v>840</v>
      </c>
    </row>
    <row r="17" spans="1:35">
      <c r="A17" s="617">
        <f t="shared" si="4"/>
        <v>44211</v>
      </c>
      <c r="B17" s="629">
        <f t="shared" si="0"/>
        <v>1</v>
      </c>
      <c r="C17" s="465">
        <f t="shared" si="1"/>
        <v>5</v>
      </c>
      <c r="D17" s="465" t="str">
        <f t="shared" si="2"/>
        <v>Laboral</v>
      </c>
      <c r="E17" s="626"/>
      <c r="F17" s="626"/>
      <c r="G17" s="626"/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6"/>
      <c r="T17" s="618">
        <f t="shared" si="3"/>
        <v>0</v>
      </c>
      <c r="W17" s="621">
        <v>44536</v>
      </c>
      <c r="X17" s="695" t="s">
        <v>841</v>
      </c>
    </row>
    <row r="18" spans="1:35">
      <c r="A18" s="617">
        <f t="shared" si="4"/>
        <v>44212</v>
      </c>
      <c r="B18" s="629">
        <f t="shared" si="0"/>
        <v>1</v>
      </c>
      <c r="C18" s="465">
        <f t="shared" si="1"/>
        <v>6</v>
      </c>
      <c r="D18" s="465" t="str">
        <f t="shared" si="2"/>
        <v>Festivo</v>
      </c>
      <c r="E18" s="626"/>
      <c r="F18" s="626"/>
      <c r="G18" s="626"/>
      <c r="H18" s="626"/>
      <c r="I18" s="626"/>
      <c r="J18" s="626"/>
      <c r="K18" s="626"/>
      <c r="L18" s="626"/>
      <c r="M18" s="626"/>
      <c r="N18" s="626"/>
      <c r="O18" s="626"/>
      <c r="P18" s="626"/>
      <c r="Q18" s="626"/>
      <c r="R18" s="626"/>
      <c r="S18" s="626"/>
      <c r="T18" s="618">
        <f t="shared" si="3"/>
        <v>0</v>
      </c>
      <c r="W18" s="621">
        <v>44538</v>
      </c>
      <c r="X18" s="695" t="s">
        <v>842</v>
      </c>
    </row>
    <row r="19" spans="1:35">
      <c r="A19" s="617">
        <f t="shared" si="4"/>
        <v>44213</v>
      </c>
      <c r="B19" s="629">
        <f t="shared" si="0"/>
        <v>1</v>
      </c>
      <c r="C19" s="465">
        <f t="shared" si="1"/>
        <v>7</v>
      </c>
      <c r="D19" s="465" t="str">
        <f t="shared" si="2"/>
        <v>Festivo</v>
      </c>
      <c r="E19" s="626"/>
      <c r="F19" s="626"/>
      <c r="G19" s="626"/>
      <c r="H19" s="626"/>
      <c r="I19" s="626"/>
      <c r="J19" s="626"/>
      <c r="K19" s="626"/>
      <c r="L19" s="626"/>
      <c r="M19" s="626"/>
      <c r="N19" s="626"/>
      <c r="O19" s="626"/>
      <c r="P19" s="626"/>
      <c r="Q19" s="626"/>
      <c r="R19" s="626"/>
      <c r="S19" s="626"/>
      <c r="T19" s="618">
        <f t="shared" si="3"/>
        <v>0</v>
      </c>
      <c r="W19" s="621">
        <v>44555</v>
      </c>
      <c r="X19" s="695" t="s">
        <v>843</v>
      </c>
    </row>
    <row r="20" spans="1:35">
      <c r="A20" s="617">
        <f t="shared" si="4"/>
        <v>44214</v>
      </c>
      <c r="B20" s="629">
        <f t="shared" si="0"/>
        <v>1</v>
      </c>
      <c r="C20" s="465">
        <f t="shared" si="1"/>
        <v>1</v>
      </c>
      <c r="D20" s="465" t="str">
        <f t="shared" si="2"/>
        <v>Laboral</v>
      </c>
      <c r="E20" s="626"/>
      <c r="F20" s="626"/>
      <c r="G20" s="626"/>
      <c r="H20" s="626"/>
      <c r="I20" s="626"/>
      <c r="J20" s="626"/>
      <c r="K20" s="626"/>
      <c r="L20" s="626"/>
      <c r="M20" s="626"/>
      <c r="N20" s="626"/>
      <c r="O20" s="626"/>
      <c r="P20" s="626"/>
      <c r="Q20" s="626"/>
      <c r="R20" s="626"/>
      <c r="S20" s="626"/>
      <c r="T20" s="618">
        <f t="shared" si="3"/>
        <v>0</v>
      </c>
    </row>
    <row r="21" spans="1:35">
      <c r="A21" s="617">
        <f t="shared" si="4"/>
        <v>44215</v>
      </c>
      <c r="B21" s="629">
        <f t="shared" si="0"/>
        <v>1</v>
      </c>
      <c r="C21" s="465">
        <f t="shared" si="1"/>
        <v>2</v>
      </c>
      <c r="D21" s="465" t="str">
        <f t="shared" si="2"/>
        <v>Laboral</v>
      </c>
      <c r="E21" s="626"/>
      <c r="F21" s="626"/>
      <c r="G21" s="626"/>
      <c r="H21" s="626"/>
      <c r="I21" s="626"/>
      <c r="J21" s="626"/>
      <c r="K21" s="626"/>
      <c r="L21" s="626"/>
      <c r="M21" s="626"/>
      <c r="N21" s="626"/>
      <c r="O21" s="626"/>
      <c r="P21" s="626"/>
      <c r="Q21" s="626"/>
      <c r="R21" s="626"/>
      <c r="S21" s="626"/>
      <c r="T21" s="618">
        <f t="shared" si="3"/>
        <v>0</v>
      </c>
    </row>
    <row r="22" spans="1:35">
      <c r="A22" s="617">
        <f t="shared" si="4"/>
        <v>44216</v>
      </c>
      <c r="B22" s="629">
        <f t="shared" si="0"/>
        <v>1</v>
      </c>
      <c r="C22" s="465">
        <f t="shared" si="1"/>
        <v>3</v>
      </c>
      <c r="D22" s="465" t="str">
        <f t="shared" si="2"/>
        <v>Laboral</v>
      </c>
      <c r="E22" s="626"/>
      <c r="F22" s="626"/>
      <c r="G22" s="626"/>
      <c r="H22" s="626"/>
      <c r="I22" s="626"/>
      <c r="J22" s="626"/>
      <c r="K22" s="626"/>
      <c r="L22" s="626"/>
      <c r="M22" s="626"/>
      <c r="N22" s="626"/>
      <c r="O22" s="626"/>
      <c r="P22" s="626"/>
      <c r="Q22" s="626"/>
      <c r="R22" s="626"/>
      <c r="S22" s="626"/>
      <c r="T22" s="618">
        <f t="shared" si="3"/>
        <v>0</v>
      </c>
      <c r="V22" s="624" t="s">
        <v>583</v>
      </c>
      <c r="W22" s="624" t="s">
        <v>478</v>
      </c>
    </row>
    <row r="23" spans="1:35">
      <c r="A23" s="617">
        <f t="shared" si="4"/>
        <v>44217</v>
      </c>
      <c r="B23" s="629">
        <f t="shared" si="0"/>
        <v>1</v>
      </c>
      <c r="C23" s="465">
        <f t="shared" si="1"/>
        <v>4</v>
      </c>
      <c r="D23" s="465" t="str">
        <f t="shared" si="2"/>
        <v>Laboral</v>
      </c>
      <c r="E23" s="626"/>
      <c r="F23" s="626"/>
      <c r="G23" s="626"/>
      <c r="H23" s="626"/>
      <c r="I23" s="626"/>
      <c r="J23" s="626"/>
      <c r="K23" s="626"/>
      <c r="L23" s="626"/>
      <c r="M23" s="626"/>
      <c r="N23" s="626"/>
      <c r="O23" s="626"/>
      <c r="P23" s="626"/>
      <c r="Q23" s="626"/>
      <c r="R23" s="626"/>
      <c r="S23" s="626"/>
      <c r="T23" s="618">
        <f t="shared" si="3"/>
        <v>0</v>
      </c>
      <c r="V23" s="624" t="s">
        <v>238</v>
      </c>
      <c r="W23" s="617" t="s">
        <v>584</v>
      </c>
      <c r="X23" s="617" t="s">
        <v>585</v>
      </c>
      <c r="Y23" s="617" t="s">
        <v>586</v>
      </c>
      <c r="Z23" s="617" t="s">
        <v>587</v>
      </c>
      <c r="AA23" s="617" t="s">
        <v>588</v>
      </c>
      <c r="AB23" s="617" t="s">
        <v>589</v>
      </c>
      <c r="AC23" s="617" t="s">
        <v>590</v>
      </c>
      <c r="AD23" s="617" t="s">
        <v>591</v>
      </c>
      <c r="AE23" s="617" t="s">
        <v>592</v>
      </c>
      <c r="AF23" s="617" t="s">
        <v>593</v>
      </c>
      <c r="AG23" s="617" t="s">
        <v>594</v>
      </c>
      <c r="AH23" s="617" t="s">
        <v>595</v>
      </c>
      <c r="AI23" s="617" t="s">
        <v>596</v>
      </c>
    </row>
    <row r="24" spans="1:35">
      <c r="A24" s="617">
        <f t="shared" si="4"/>
        <v>44218</v>
      </c>
      <c r="B24" s="629">
        <f t="shared" si="0"/>
        <v>1</v>
      </c>
      <c r="C24" s="465">
        <f t="shared" si="1"/>
        <v>5</v>
      </c>
      <c r="D24" s="465" t="str">
        <f t="shared" si="2"/>
        <v>Laboral</v>
      </c>
      <c r="E24" s="626"/>
      <c r="F24" s="626"/>
      <c r="G24" s="626"/>
      <c r="H24" s="626"/>
      <c r="I24" s="626"/>
      <c r="J24" s="626"/>
      <c r="K24" s="626"/>
      <c r="L24" s="626"/>
      <c r="M24" s="626"/>
      <c r="N24" s="626"/>
      <c r="O24" s="626"/>
      <c r="P24" s="626"/>
      <c r="Q24" s="626"/>
      <c r="R24" s="626"/>
      <c r="S24" s="626"/>
      <c r="T24" s="618">
        <f t="shared" si="3"/>
        <v>0</v>
      </c>
      <c r="V24" s="463" t="s">
        <v>597</v>
      </c>
      <c r="W24" s="623">
        <v>9</v>
      </c>
      <c r="X24" s="623">
        <v>8</v>
      </c>
      <c r="Y24" s="623">
        <v>10</v>
      </c>
      <c r="Z24" s="623">
        <v>10</v>
      </c>
      <c r="AA24" s="623">
        <v>9</v>
      </c>
      <c r="AB24" s="623">
        <v>12</v>
      </c>
      <c r="AC24" s="623">
        <v>8</v>
      </c>
      <c r="AD24" s="623">
        <v>10</v>
      </c>
      <c r="AE24" s="623">
        <v>11</v>
      </c>
      <c r="AF24" s="623">
        <v>8</v>
      </c>
      <c r="AG24" s="623">
        <v>10</v>
      </c>
      <c r="AH24" s="623">
        <v>12</v>
      </c>
      <c r="AI24" s="623">
        <v>117</v>
      </c>
    </row>
    <row r="25" spans="1:35">
      <c r="A25" s="617">
        <f t="shared" si="4"/>
        <v>44219</v>
      </c>
      <c r="B25" s="629">
        <f t="shared" si="0"/>
        <v>1</v>
      </c>
      <c r="C25" s="465">
        <f t="shared" si="1"/>
        <v>6</v>
      </c>
      <c r="D25" s="465" t="str">
        <f t="shared" si="2"/>
        <v>Festivo</v>
      </c>
      <c r="E25" s="626"/>
      <c r="F25" s="626"/>
      <c r="G25" s="626"/>
      <c r="H25" s="626"/>
      <c r="I25" s="626"/>
      <c r="J25" s="626"/>
      <c r="K25" s="626"/>
      <c r="L25" s="626"/>
      <c r="M25" s="626"/>
      <c r="N25" s="626"/>
      <c r="O25" s="626"/>
      <c r="P25" s="626"/>
      <c r="Q25" s="626"/>
      <c r="R25" s="626"/>
      <c r="S25" s="626"/>
      <c r="T25" s="618">
        <f t="shared" si="3"/>
        <v>0</v>
      </c>
      <c r="V25" s="463" t="s">
        <v>598</v>
      </c>
      <c r="W25" s="623">
        <v>22</v>
      </c>
      <c r="X25" s="623">
        <v>20</v>
      </c>
      <c r="Y25" s="623">
        <v>21</v>
      </c>
      <c r="Z25" s="623">
        <v>20</v>
      </c>
      <c r="AA25" s="623">
        <v>22</v>
      </c>
      <c r="AB25" s="623">
        <v>18</v>
      </c>
      <c r="AC25" s="623">
        <v>23</v>
      </c>
      <c r="AD25" s="623">
        <v>21</v>
      </c>
      <c r="AE25" s="623">
        <v>19</v>
      </c>
      <c r="AF25" s="623">
        <v>23</v>
      </c>
      <c r="AG25" s="623">
        <v>20</v>
      </c>
      <c r="AH25" s="623">
        <v>19</v>
      </c>
      <c r="AI25" s="623">
        <v>248</v>
      </c>
    </row>
    <row r="26" spans="1:35">
      <c r="A26" s="617">
        <f t="shared" si="4"/>
        <v>44220</v>
      </c>
      <c r="B26" s="629">
        <f t="shared" si="0"/>
        <v>1</v>
      </c>
      <c r="C26" s="465">
        <f t="shared" si="1"/>
        <v>7</v>
      </c>
      <c r="D26" s="465" t="str">
        <f t="shared" si="2"/>
        <v>Festivo</v>
      </c>
      <c r="E26" s="626"/>
      <c r="F26" s="626"/>
      <c r="G26" s="626"/>
      <c r="H26" s="626"/>
      <c r="I26" s="626"/>
      <c r="J26" s="626"/>
      <c r="K26" s="626"/>
      <c r="L26" s="626"/>
      <c r="M26" s="626"/>
      <c r="N26" s="626"/>
      <c r="O26" s="626"/>
      <c r="P26" s="626"/>
      <c r="Q26" s="626"/>
      <c r="R26" s="626"/>
      <c r="S26" s="626"/>
      <c r="T26" s="618">
        <f t="shared" si="3"/>
        <v>0</v>
      </c>
      <c r="V26" s="463" t="s">
        <v>596</v>
      </c>
      <c r="W26" s="623">
        <v>31</v>
      </c>
      <c r="X26" s="623">
        <v>28</v>
      </c>
      <c r="Y26" s="623">
        <v>31</v>
      </c>
      <c r="Z26" s="623">
        <v>30</v>
      </c>
      <c r="AA26" s="623">
        <v>31</v>
      </c>
      <c r="AB26" s="623">
        <v>30</v>
      </c>
      <c r="AC26" s="623">
        <v>31</v>
      </c>
      <c r="AD26" s="623">
        <v>31</v>
      </c>
      <c r="AE26" s="623">
        <v>30</v>
      </c>
      <c r="AF26" s="623">
        <v>31</v>
      </c>
      <c r="AG26" s="623">
        <v>30</v>
      </c>
      <c r="AH26" s="623">
        <v>31</v>
      </c>
      <c r="AI26" s="623">
        <v>365</v>
      </c>
    </row>
    <row r="27" spans="1:35">
      <c r="A27" s="617">
        <f t="shared" si="4"/>
        <v>44221</v>
      </c>
      <c r="B27" s="629">
        <f t="shared" si="0"/>
        <v>1</v>
      </c>
      <c r="C27" s="465">
        <f t="shared" si="1"/>
        <v>1</v>
      </c>
      <c r="D27" s="465" t="str">
        <f t="shared" si="2"/>
        <v>Laboral</v>
      </c>
      <c r="E27" s="626"/>
      <c r="F27" s="626"/>
      <c r="G27" s="626"/>
      <c r="H27" s="626"/>
      <c r="I27" s="626"/>
      <c r="J27" s="626"/>
      <c r="K27" s="626"/>
      <c r="L27" s="626"/>
      <c r="M27" s="626"/>
      <c r="N27" s="626"/>
      <c r="O27" s="626"/>
      <c r="P27" s="626"/>
      <c r="Q27" s="626"/>
      <c r="R27" s="626"/>
      <c r="S27" s="626"/>
      <c r="T27" s="618">
        <f t="shared" si="3"/>
        <v>0</v>
      </c>
    </row>
    <row r="28" spans="1:35">
      <c r="A28" s="617">
        <f t="shared" si="4"/>
        <v>44222</v>
      </c>
      <c r="B28" s="629">
        <f t="shared" si="0"/>
        <v>1</v>
      </c>
      <c r="C28" s="465">
        <f t="shared" si="1"/>
        <v>2</v>
      </c>
      <c r="D28" s="465" t="str">
        <f t="shared" si="2"/>
        <v>Laboral</v>
      </c>
      <c r="E28" s="626"/>
      <c r="F28" s="626"/>
      <c r="G28" s="626"/>
      <c r="H28" s="626"/>
      <c r="I28" s="626"/>
      <c r="J28" s="626"/>
      <c r="K28" s="626"/>
      <c r="L28" s="626"/>
      <c r="M28" s="626"/>
      <c r="N28" s="626"/>
      <c r="O28" s="626"/>
      <c r="P28" s="626"/>
      <c r="Q28" s="626"/>
      <c r="R28" s="626"/>
      <c r="S28" s="626"/>
      <c r="T28" s="618">
        <f t="shared" si="3"/>
        <v>0</v>
      </c>
    </row>
    <row r="29" spans="1:35">
      <c r="A29" s="617">
        <f t="shared" si="4"/>
        <v>44223</v>
      </c>
      <c r="B29" s="629">
        <f t="shared" si="0"/>
        <v>1</v>
      </c>
      <c r="C29" s="465">
        <f t="shared" si="1"/>
        <v>3</v>
      </c>
      <c r="D29" s="465" t="str">
        <f t="shared" si="2"/>
        <v>Laboral</v>
      </c>
      <c r="E29" s="626"/>
      <c r="F29" s="626"/>
      <c r="G29" s="626"/>
      <c r="H29" s="626"/>
      <c r="I29" s="626"/>
      <c r="J29" s="626"/>
      <c r="K29" s="626"/>
      <c r="L29" s="626"/>
      <c r="M29" s="626"/>
      <c r="N29" s="626"/>
      <c r="O29" s="626"/>
      <c r="P29" s="626"/>
      <c r="Q29" s="626"/>
      <c r="R29" s="626"/>
      <c r="S29" s="626"/>
      <c r="T29" s="618">
        <f t="shared" si="3"/>
        <v>0</v>
      </c>
    </row>
    <row r="30" spans="1:35">
      <c r="A30" s="617">
        <f t="shared" si="4"/>
        <v>44224</v>
      </c>
      <c r="B30" s="629">
        <f t="shared" si="0"/>
        <v>1</v>
      </c>
      <c r="C30" s="465">
        <f t="shared" si="1"/>
        <v>4</v>
      </c>
      <c r="D30" s="465" t="str">
        <f t="shared" si="2"/>
        <v>Laboral</v>
      </c>
      <c r="E30" s="626"/>
      <c r="F30" s="626"/>
      <c r="G30" s="626"/>
      <c r="H30" s="626"/>
      <c r="I30" s="626"/>
      <c r="J30" s="626"/>
      <c r="K30" s="626"/>
      <c r="L30" s="626"/>
      <c r="M30" s="626"/>
      <c r="N30" s="626"/>
      <c r="O30" s="626"/>
      <c r="P30" s="626"/>
      <c r="Q30" s="626"/>
      <c r="R30" s="626"/>
      <c r="S30" s="626"/>
      <c r="T30" s="618">
        <f t="shared" si="3"/>
        <v>0</v>
      </c>
      <c r="V30" s="625" t="s">
        <v>604</v>
      </c>
    </row>
    <row r="31" spans="1:35">
      <c r="A31" s="617">
        <f t="shared" si="4"/>
        <v>44225</v>
      </c>
      <c r="B31" s="629">
        <f t="shared" si="0"/>
        <v>1</v>
      </c>
      <c r="C31" s="465">
        <f t="shared" si="1"/>
        <v>5</v>
      </c>
      <c r="D31" s="465" t="str">
        <f t="shared" si="2"/>
        <v>Laboral</v>
      </c>
      <c r="E31" s="626"/>
      <c r="F31" s="626"/>
      <c r="G31" s="626"/>
      <c r="H31" s="626"/>
      <c r="I31" s="626"/>
      <c r="J31" s="626"/>
      <c r="K31" s="626"/>
      <c r="L31" s="626"/>
      <c r="M31" s="626"/>
      <c r="N31" s="626"/>
      <c r="O31" s="626"/>
      <c r="P31" s="626"/>
      <c r="Q31" s="626"/>
      <c r="R31" s="626"/>
      <c r="S31" s="626"/>
      <c r="T31" s="618">
        <f t="shared" si="3"/>
        <v>0</v>
      </c>
      <c r="V31" s="465" t="str">
        <f t="shared" ref="V31:V46" si="5">D371</f>
        <v>mes</v>
      </c>
      <c r="W31" s="674">
        <f t="shared" ref="W31:W46" si="6">E371</f>
        <v>44197</v>
      </c>
      <c r="X31" s="674">
        <f t="shared" ref="X31:X46" si="7">F371</f>
        <v>44228</v>
      </c>
      <c r="Y31" s="674">
        <f t="shared" ref="Y31:Y46" si="8">G371</f>
        <v>44256</v>
      </c>
      <c r="Z31" s="674">
        <f t="shared" ref="Z31:Z46" si="9">H371</f>
        <v>44287</v>
      </c>
      <c r="AA31" s="674">
        <f t="shared" ref="AA31:AA46" si="10">I371</f>
        <v>44317</v>
      </c>
      <c r="AB31" s="674">
        <f t="shared" ref="AB31:AB46" si="11">J371</f>
        <v>44348</v>
      </c>
      <c r="AC31" s="674">
        <f t="shared" ref="AC31:AC46" si="12">K371</f>
        <v>44378</v>
      </c>
      <c r="AD31" s="674">
        <f t="shared" ref="AD31:AD46" si="13">L371</f>
        <v>44409</v>
      </c>
      <c r="AE31" s="674">
        <f t="shared" ref="AE31:AE46" si="14">M371</f>
        <v>44440</v>
      </c>
      <c r="AF31" s="674">
        <f t="shared" ref="AF31:AF46" si="15">N371</f>
        <v>44470</v>
      </c>
      <c r="AG31" s="674">
        <f t="shared" ref="AG31:AG46" si="16">O371</f>
        <v>44501</v>
      </c>
      <c r="AH31" s="674">
        <f t="shared" ref="AH31:AH46" si="17">P371</f>
        <v>44531</v>
      </c>
    </row>
    <row r="32" spans="1:35">
      <c r="A32" s="617">
        <f t="shared" si="4"/>
        <v>44226</v>
      </c>
      <c r="B32" s="629">
        <f t="shared" si="0"/>
        <v>1</v>
      </c>
      <c r="C32" s="465">
        <f t="shared" si="1"/>
        <v>6</v>
      </c>
      <c r="D32" s="465" t="str">
        <f t="shared" si="2"/>
        <v>Festivo</v>
      </c>
      <c r="E32" s="626"/>
      <c r="F32" s="626"/>
      <c r="G32" s="626"/>
      <c r="H32" s="626"/>
      <c r="I32" s="626"/>
      <c r="J32" s="626"/>
      <c r="K32" s="626"/>
      <c r="L32" s="626"/>
      <c r="M32" s="626"/>
      <c r="N32" s="626"/>
      <c r="O32" s="626"/>
      <c r="P32" s="626"/>
      <c r="Q32" s="626"/>
      <c r="R32" s="626"/>
      <c r="S32" s="626"/>
      <c r="T32" s="618">
        <f t="shared" si="3"/>
        <v>0</v>
      </c>
      <c r="V32" s="465">
        <f t="shared" si="5"/>
        <v>0</v>
      </c>
      <c r="W32" s="469">
        <f t="shared" si="6"/>
        <v>0</v>
      </c>
      <c r="X32" s="469">
        <f t="shared" si="7"/>
        <v>0</v>
      </c>
      <c r="Y32" s="469">
        <f t="shared" si="8"/>
        <v>0</v>
      </c>
      <c r="Z32" s="469">
        <f t="shared" si="9"/>
        <v>0</v>
      </c>
      <c r="AA32" s="469">
        <f t="shared" si="10"/>
        <v>0</v>
      </c>
      <c r="AB32" s="469">
        <f t="shared" si="11"/>
        <v>0</v>
      </c>
      <c r="AC32" s="469">
        <f t="shared" si="12"/>
        <v>0</v>
      </c>
      <c r="AD32" s="469">
        <f t="shared" si="13"/>
        <v>0</v>
      </c>
      <c r="AE32" s="469">
        <f t="shared" si="14"/>
        <v>0</v>
      </c>
      <c r="AF32" s="469">
        <f t="shared" si="15"/>
        <v>0</v>
      </c>
      <c r="AG32" s="469">
        <f t="shared" si="16"/>
        <v>0</v>
      </c>
      <c r="AH32" s="469">
        <f t="shared" si="17"/>
        <v>0</v>
      </c>
    </row>
    <row r="33" spans="1:34">
      <c r="A33" s="617">
        <f t="shared" si="4"/>
        <v>44227</v>
      </c>
      <c r="B33" s="629">
        <f t="shared" si="0"/>
        <v>1</v>
      </c>
      <c r="C33" s="465">
        <f t="shared" si="1"/>
        <v>7</v>
      </c>
      <c r="D33" s="465" t="str">
        <f t="shared" si="2"/>
        <v>Festivo</v>
      </c>
      <c r="E33" s="626"/>
      <c r="F33" s="626"/>
      <c r="G33" s="626"/>
      <c r="H33" s="626"/>
      <c r="I33" s="626"/>
      <c r="J33" s="626"/>
      <c r="K33" s="626"/>
      <c r="L33" s="626"/>
      <c r="M33" s="626"/>
      <c r="N33" s="626"/>
      <c r="O33" s="626"/>
      <c r="P33" s="626"/>
      <c r="Q33" s="626"/>
      <c r="R33" s="626"/>
      <c r="S33" s="626"/>
      <c r="T33" s="618">
        <f t="shared" si="3"/>
        <v>0</v>
      </c>
      <c r="V33" s="465">
        <f t="shared" si="5"/>
        <v>0</v>
      </c>
      <c r="W33" s="469">
        <f t="shared" si="6"/>
        <v>0</v>
      </c>
      <c r="X33" s="469">
        <f t="shared" si="7"/>
        <v>0</v>
      </c>
      <c r="Y33" s="469">
        <f t="shared" si="8"/>
        <v>0</v>
      </c>
      <c r="Z33" s="469">
        <f t="shared" si="9"/>
        <v>0</v>
      </c>
      <c r="AA33" s="469">
        <f t="shared" si="10"/>
        <v>0</v>
      </c>
      <c r="AB33" s="469">
        <f t="shared" si="11"/>
        <v>0</v>
      </c>
      <c r="AC33" s="469">
        <f t="shared" si="12"/>
        <v>0</v>
      </c>
      <c r="AD33" s="469">
        <f t="shared" si="13"/>
        <v>0</v>
      </c>
      <c r="AE33" s="469">
        <f t="shared" si="14"/>
        <v>0</v>
      </c>
      <c r="AF33" s="469">
        <f t="shared" si="15"/>
        <v>0</v>
      </c>
      <c r="AG33" s="469">
        <f t="shared" si="16"/>
        <v>0</v>
      </c>
      <c r="AH33" s="469">
        <f t="shared" si="17"/>
        <v>0</v>
      </c>
    </row>
    <row r="34" spans="1:34">
      <c r="A34" s="617">
        <f t="shared" si="4"/>
        <v>44228</v>
      </c>
      <c r="B34" s="629">
        <f t="shared" si="0"/>
        <v>2</v>
      </c>
      <c r="C34" s="465">
        <f t="shared" si="1"/>
        <v>1</v>
      </c>
      <c r="D34" s="465" t="str">
        <f t="shared" si="2"/>
        <v>Laboral</v>
      </c>
      <c r="E34" s="626"/>
      <c r="F34" s="626"/>
      <c r="G34" s="626"/>
      <c r="H34" s="626"/>
      <c r="I34" s="626"/>
      <c r="J34" s="626"/>
      <c r="K34" s="626"/>
      <c r="L34" s="626"/>
      <c r="M34" s="626"/>
      <c r="N34" s="626"/>
      <c r="O34" s="626"/>
      <c r="P34" s="626"/>
      <c r="Q34" s="626"/>
      <c r="R34" s="626"/>
      <c r="S34" s="626"/>
      <c r="T34" s="618">
        <f t="shared" si="3"/>
        <v>0</v>
      </c>
      <c r="V34" s="465">
        <f t="shared" si="5"/>
        <v>0</v>
      </c>
      <c r="W34" s="469">
        <f t="shared" si="6"/>
        <v>0</v>
      </c>
      <c r="X34" s="469">
        <f t="shared" si="7"/>
        <v>0</v>
      </c>
      <c r="Y34" s="469">
        <f t="shared" si="8"/>
        <v>0</v>
      </c>
      <c r="Z34" s="469">
        <f t="shared" si="9"/>
        <v>0</v>
      </c>
      <c r="AA34" s="469">
        <f t="shared" si="10"/>
        <v>0</v>
      </c>
      <c r="AB34" s="469">
        <f t="shared" si="11"/>
        <v>0</v>
      </c>
      <c r="AC34" s="469">
        <f t="shared" si="12"/>
        <v>0</v>
      </c>
      <c r="AD34" s="469">
        <f t="shared" si="13"/>
        <v>0</v>
      </c>
      <c r="AE34" s="469">
        <f t="shared" si="14"/>
        <v>0</v>
      </c>
      <c r="AF34" s="469">
        <f t="shared" si="15"/>
        <v>0</v>
      </c>
      <c r="AG34" s="469">
        <f t="shared" si="16"/>
        <v>0</v>
      </c>
      <c r="AH34" s="469">
        <f t="shared" si="17"/>
        <v>0</v>
      </c>
    </row>
    <row r="35" spans="1:34">
      <c r="A35" s="617">
        <f t="shared" si="4"/>
        <v>44229</v>
      </c>
      <c r="B35" s="629">
        <f t="shared" si="0"/>
        <v>2</v>
      </c>
      <c r="C35" s="465">
        <f t="shared" si="1"/>
        <v>2</v>
      </c>
      <c r="D35" s="465" t="str">
        <f t="shared" si="2"/>
        <v>Laboral</v>
      </c>
      <c r="E35" s="626"/>
      <c r="F35" s="626"/>
      <c r="G35" s="626"/>
      <c r="H35" s="626"/>
      <c r="I35" s="626"/>
      <c r="J35" s="626"/>
      <c r="K35" s="626"/>
      <c r="L35" s="626"/>
      <c r="M35" s="626"/>
      <c r="N35" s="626"/>
      <c r="O35" s="626"/>
      <c r="P35" s="626"/>
      <c r="Q35" s="626"/>
      <c r="R35" s="626"/>
      <c r="S35" s="626"/>
      <c r="T35" s="618">
        <f t="shared" si="3"/>
        <v>0</v>
      </c>
      <c r="V35" s="465">
        <f t="shared" si="5"/>
        <v>0</v>
      </c>
      <c r="W35" s="469">
        <f t="shared" si="6"/>
        <v>0</v>
      </c>
      <c r="X35" s="469">
        <f t="shared" si="7"/>
        <v>0</v>
      </c>
      <c r="Y35" s="469">
        <f t="shared" si="8"/>
        <v>0</v>
      </c>
      <c r="Z35" s="469">
        <f t="shared" si="9"/>
        <v>0</v>
      </c>
      <c r="AA35" s="469">
        <f t="shared" si="10"/>
        <v>0</v>
      </c>
      <c r="AB35" s="469">
        <f t="shared" si="11"/>
        <v>0</v>
      </c>
      <c r="AC35" s="469">
        <f t="shared" si="12"/>
        <v>0</v>
      </c>
      <c r="AD35" s="469">
        <f t="shared" si="13"/>
        <v>0</v>
      </c>
      <c r="AE35" s="469">
        <f t="shared" si="14"/>
        <v>0</v>
      </c>
      <c r="AF35" s="469">
        <f t="shared" si="15"/>
        <v>0</v>
      </c>
      <c r="AG35" s="469">
        <f t="shared" si="16"/>
        <v>0</v>
      </c>
      <c r="AH35" s="469">
        <f t="shared" si="17"/>
        <v>0</v>
      </c>
    </row>
    <row r="36" spans="1:34">
      <c r="A36" s="617">
        <f t="shared" si="4"/>
        <v>44230</v>
      </c>
      <c r="B36" s="629">
        <f t="shared" si="0"/>
        <v>2</v>
      </c>
      <c r="C36" s="465">
        <f t="shared" si="1"/>
        <v>3</v>
      </c>
      <c r="D36" s="465" t="str">
        <f t="shared" si="2"/>
        <v>Laboral</v>
      </c>
      <c r="E36" s="626"/>
      <c r="F36" s="626"/>
      <c r="G36" s="626"/>
      <c r="H36" s="626"/>
      <c r="I36" s="626"/>
      <c r="J36" s="626"/>
      <c r="K36" s="626"/>
      <c r="L36" s="626"/>
      <c r="M36" s="626"/>
      <c r="N36" s="626"/>
      <c r="O36" s="626"/>
      <c r="P36" s="626"/>
      <c r="Q36" s="626"/>
      <c r="R36" s="626"/>
      <c r="S36" s="626"/>
      <c r="T36" s="618">
        <f t="shared" si="3"/>
        <v>0</v>
      </c>
      <c r="V36" s="465">
        <f t="shared" si="5"/>
        <v>0</v>
      </c>
      <c r="W36" s="469">
        <f t="shared" si="6"/>
        <v>0</v>
      </c>
      <c r="X36" s="469">
        <f t="shared" si="7"/>
        <v>0</v>
      </c>
      <c r="Y36" s="469">
        <f t="shared" si="8"/>
        <v>0</v>
      </c>
      <c r="Z36" s="469">
        <f t="shared" si="9"/>
        <v>0</v>
      </c>
      <c r="AA36" s="469">
        <f t="shared" si="10"/>
        <v>0</v>
      </c>
      <c r="AB36" s="469">
        <f t="shared" si="11"/>
        <v>0</v>
      </c>
      <c r="AC36" s="469">
        <f t="shared" si="12"/>
        <v>0</v>
      </c>
      <c r="AD36" s="469">
        <f t="shared" si="13"/>
        <v>0</v>
      </c>
      <c r="AE36" s="469">
        <f t="shared" si="14"/>
        <v>0</v>
      </c>
      <c r="AF36" s="469">
        <f t="shared" si="15"/>
        <v>0</v>
      </c>
      <c r="AG36" s="469">
        <f t="shared" si="16"/>
        <v>0</v>
      </c>
      <c r="AH36" s="469">
        <f t="shared" si="17"/>
        <v>0</v>
      </c>
    </row>
    <row r="37" spans="1:34">
      <c r="A37" s="617">
        <f t="shared" si="4"/>
        <v>44231</v>
      </c>
      <c r="B37" s="629">
        <f t="shared" si="0"/>
        <v>2</v>
      </c>
      <c r="C37" s="465">
        <f t="shared" si="1"/>
        <v>4</v>
      </c>
      <c r="D37" s="465" t="str">
        <f t="shared" si="2"/>
        <v>Laboral</v>
      </c>
      <c r="E37" s="626"/>
      <c r="F37" s="626"/>
      <c r="G37" s="626"/>
      <c r="H37" s="626"/>
      <c r="I37" s="626"/>
      <c r="J37" s="626"/>
      <c r="K37" s="626"/>
      <c r="L37" s="626"/>
      <c r="M37" s="626"/>
      <c r="N37" s="626"/>
      <c r="O37" s="626"/>
      <c r="P37" s="626"/>
      <c r="Q37" s="626"/>
      <c r="R37" s="626"/>
      <c r="S37" s="626"/>
      <c r="T37" s="618">
        <f t="shared" si="3"/>
        <v>0</v>
      </c>
      <c r="V37" s="465">
        <f t="shared" si="5"/>
        <v>0</v>
      </c>
      <c r="W37" s="469">
        <f t="shared" si="6"/>
        <v>0</v>
      </c>
      <c r="X37" s="469">
        <f t="shared" si="7"/>
        <v>0</v>
      </c>
      <c r="Y37" s="469">
        <f t="shared" si="8"/>
        <v>0</v>
      </c>
      <c r="Z37" s="469">
        <f t="shared" si="9"/>
        <v>0</v>
      </c>
      <c r="AA37" s="469">
        <f t="shared" si="10"/>
        <v>0</v>
      </c>
      <c r="AB37" s="469">
        <f t="shared" si="11"/>
        <v>0</v>
      </c>
      <c r="AC37" s="469">
        <f t="shared" si="12"/>
        <v>0</v>
      </c>
      <c r="AD37" s="469">
        <f t="shared" si="13"/>
        <v>0</v>
      </c>
      <c r="AE37" s="469">
        <f t="shared" si="14"/>
        <v>0</v>
      </c>
      <c r="AF37" s="469">
        <f t="shared" si="15"/>
        <v>0</v>
      </c>
      <c r="AG37" s="469">
        <f t="shared" si="16"/>
        <v>0</v>
      </c>
      <c r="AH37" s="469">
        <f t="shared" si="17"/>
        <v>0</v>
      </c>
    </row>
    <row r="38" spans="1:34">
      <c r="A38" s="617">
        <f t="shared" si="4"/>
        <v>44232</v>
      </c>
      <c r="B38" s="629">
        <f t="shared" si="0"/>
        <v>2</v>
      </c>
      <c r="C38" s="465">
        <f t="shared" si="1"/>
        <v>5</v>
      </c>
      <c r="D38" s="465" t="str">
        <f t="shared" si="2"/>
        <v>Laboral</v>
      </c>
      <c r="E38" s="626"/>
      <c r="F38" s="626"/>
      <c r="G38" s="626"/>
      <c r="H38" s="626"/>
      <c r="I38" s="626"/>
      <c r="J38" s="626"/>
      <c r="K38" s="626"/>
      <c r="L38" s="626"/>
      <c r="M38" s="626"/>
      <c r="N38" s="626"/>
      <c r="O38" s="626"/>
      <c r="P38" s="626"/>
      <c r="Q38" s="626"/>
      <c r="R38" s="626"/>
      <c r="S38" s="626"/>
      <c r="T38" s="618">
        <f t="shared" si="3"/>
        <v>0</v>
      </c>
      <c r="V38" s="465">
        <f t="shared" si="5"/>
        <v>0</v>
      </c>
      <c r="W38" s="469">
        <f t="shared" si="6"/>
        <v>0</v>
      </c>
      <c r="X38" s="469">
        <f t="shared" si="7"/>
        <v>0</v>
      </c>
      <c r="Y38" s="469">
        <f t="shared" si="8"/>
        <v>0</v>
      </c>
      <c r="Z38" s="469">
        <f t="shared" si="9"/>
        <v>0</v>
      </c>
      <c r="AA38" s="469">
        <f t="shared" si="10"/>
        <v>0</v>
      </c>
      <c r="AB38" s="469">
        <f t="shared" si="11"/>
        <v>0</v>
      </c>
      <c r="AC38" s="469">
        <f t="shared" si="12"/>
        <v>0</v>
      </c>
      <c r="AD38" s="469">
        <f t="shared" si="13"/>
        <v>0</v>
      </c>
      <c r="AE38" s="469">
        <f t="shared" si="14"/>
        <v>0</v>
      </c>
      <c r="AF38" s="469">
        <f t="shared" si="15"/>
        <v>0</v>
      </c>
      <c r="AG38" s="469">
        <f t="shared" si="16"/>
        <v>0</v>
      </c>
      <c r="AH38" s="469">
        <f t="shared" si="17"/>
        <v>0</v>
      </c>
    </row>
    <row r="39" spans="1:34">
      <c r="A39" s="617">
        <f t="shared" si="4"/>
        <v>44233</v>
      </c>
      <c r="B39" s="629">
        <f t="shared" si="0"/>
        <v>2</v>
      </c>
      <c r="C39" s="465">
        <f t="shared" si="1"/>
        <v>6</v>
      </c>
      <c r="D39" s="465" t="str">
        <f t="shared" si="2"/>
        <v>Festivo</v>
      </c>
      <c r="E39" s="626"/>
      <c r="F39" s="626"/>
      <c r="G39" s="626"/>
      <c r="H39" s="626"/>
      <c r="I39" s="626"/>
      <c r="J39" s="626"/>
      <c r="K39" s="626"/>
      <c r="L39" s="626"/>
      <c r="M39" s="626"/>
      <c r="N39" s="626"/>
      <c r="O39" s="626"/>
      <c r="P39" s="626"/>
      <c r="Q39" s="626"/>
      <c r="R39" s="626"/>
      <c r="S39" s="626"/>
      <c r="T39" s="618">
        <f t="shared" si="3"/>
        <v>0</v>
      </c>
      <c r="V39" s="465">
        <f t="shared" si="5"/>
        <v>0</v>
      </c>
      <c r="W39" s="469">
        <f t="shared" si="6"/>
        <v>0</v>
      </c>
      <c r="X39" s="469">
        <f t="shared" si="7"/>
        <v>0</v>
      </c>
      <c r="Y39" s="469">
        <f t="shared" si="8"/>
        <v>0</v>
      </c>
      <c r="Z39" s="469">
        <f t="shared" si="9"/>
        <v>0</v>
      </c>
      <c r="AA39" s="469">
        <f t="shared" si="10"/>
        <v>0</v>
      </c>
      <c r="AB39" s="469">
        <f t="shared" si="11"/>
        <v>0</v>
      </c>
      <c r="AC39" s="469">
        <f t="shared" si="12"/>
        <v>0</v>
      </c>
      <c r="AD39" s="469">
        <f t="shared" si="13"/>
        <v>0</v>
      </c>
      <c r="AE39" s="469">
        <f t="shared" si="14"/>
        <v>0</v>
      </c>
      <c r="AF39" s="469">
        <f t="shared" si="15"/>
        <v>0</v>
      </c>
      <c r="AG39" s="469">
        <f t="shared" si="16"/>
        <v>0</v>
      </c>
      <c r="AH39" s="469">
        <f t="shared" si="17"/>
        <v>0</v>
      </c>
    </row>
    <row r="40" spans="1:34">
      <c r="A40" s="617">
        <f t="shared" si="4"/>
        <v>44234</v>
      </c>
      <c r="B40" s="629">
        <f t="shared" si="0"/>
        <v>2</v>
      </c>
      <c r="C40" s="465">
        <f t="shared" si="1"/>
        <v>7</v>
      </c>
      <c r="D40" s="465" t="str">
        <f t="shared" si="2"/>
        <v>Festivo</v>
      </c>
      <c r="E40" s="626"/>
      <c r="F40" s="626"/>
      <c r="G40" s="626"/>
      <c r="H40" s="626"/>
      <c r="I40" s="626"/>
      <c r="J40" s="626"/>
      <c r="K40" s="626"/>
      <c r="L40" s="626"/>
      <c r="M40" s="626"/>
      <c r="N40" s="626"/>
      <c r="O40" s="626"/>
      <c r="P40" s="626"/>
      <c r="Q40" s="626"/>
      <c r="R40" s="626"/>
      <c r="S40" s="626"/>
      <c r="T40" s="618">
        <f t="shared" si="3"/>
        <v>0</v>
      </c>
      <c r="V40" s="465">
        <f t="shared" si="5"/>
        <v>0</v>
      </c>
      <c r="W40" s="469">
        <f t="shared" si="6"/>
        <v>0</v>
      </c>
      <c r="X40" s="469">
        <f t="shared" si="7"/>
        <v>0</v>
      </c>
      <c r="Y40" s="469">
        <f t="shared" si="8"/>
        <v>0</v>
      </c>
      <c r="Z40" s="469">
        <f t="shared" si="9"/>
        <v>0</v>
      </c>
      <c r="AA40" s="469">
        <f t="shared" si="10"/>
        <v>0</v>
      </c>
      <c r="AB40" s="469">
        <f t="shared" si="11"/>
        <v>0</v>
      </c>
      <c r="AC40" s="469">
        <f t="shared" si="12"/>
        <v>0</v>
      </c>
      <c r="AD40" s="469">
        <f t="shared" si="13"/>
        <v>0</v>
      </c>
      <c r="AE40" s="469">
        <f t="shared" si="14"/>
        <v>0</v>
      </c>
      <c r="AF40" s="469">
        <f t="shared" si="15"/>
        <v>0</v>
      </c>
      <c r="AG40" s="469">
        <f t="shared" si="16"/>
        <v>0</v>
      </c>
      <c r="AH40" s="469">
        <f t="shared" si="17"/>
        <v>0</v>
      </c>
    </row>
    <row r="41" spans="1:34">
      <c r="A41" s="617">
        <f t="shared" si="4"/>
        <v>44235</v>
      </c>
      <c r="B41" s="629">
        <f t="shared" si="0"/>
        <v>2</v>
      </c>
      <c r="C41" s="465">
        <f t="shared" si="1"/>
        <v>1</v>
      </c>
      <c r="D41" s="465" t="str">
        <f t="shared" si="2"/>
        <v>Laboral</v>
      </c>
      <c r="E41" s="626"/>
      <c r="F41" s="626"/>
      <c r="G41" s="626"/>
      <c r="H41" s="626"/>
      <c r="I41" s="626"/>
      <c r="J41" s="626"/>
      <c r="K41" s="626"/>
      <c r="L41" s="626"/>
      <c r="M41" s="626"/>
      <c r="N41" s="626"/>
      <c r="O41" s="626"/>
      <c r="P41" s="626"/>
      <c r="Q41" s="626"/>
      <c r="R41" s="626"/>
      <c r="S41" s="626"/>
      <c r="T41" s="618">
        <f t="shared" si="3"/>
        <v>0</v>
      </c>
      <c r="V41" s="465">
        <f t="shared" si="5"/>
        <v>0</v>
      </c>
      <c r="W41" s="469">
        <f t="shared" si="6"/>
        <v>0</v>
      </c>
      <c r="X41" s="469">
        <f t="shared" si="7"/>
        <v>0</v>
      </c>
      <c r="Y41" s="469">
        <f t="shared" si="8"/>
        <v>0</v>
      </c>
      <c r="Z41" s="469">
        <f t="shared" si="9"/>
        <v>0</v>
      </c>
      <c r="AA41" s="469">
        <f t="shared" si="10"/>
        <v>0</v>
      </c>
      <c r="AB41" s="469">
        <f t="shared" si="11"/>
        <v>0</v>
      </c>
      <c r="AC41" s="469">
        <f t="shared" si="12"/>
        <v>0</v>
      </c>
      <c r="AD41" s="469">
        <f t="shared" si="13"/>
        <v>0</v>
      </c>
      <c r="AE41" s="469">
        <f t="shared" si="14"/>
        <v>0</v>
      </c>
      <c r="AF41" s="469">
        <f t="shared" si="15"/>
        <v>0</v>
      </c>
      <c r="AG41" s="469">
        <f t="shared" si="16"/>
        <v>0</v>
      </c>
      <c r="AH41" s="469">
        <f t="shared" si="17"/>
        <v>0</v>
      </c>
    </row>
    <row r="42" spans="1:34">
      <c r="A42" s="617">
        <f t="shared" si="4"/>
        <v>44236</v>
      </c>
      <c r="B42" s="629">
        <f t="shared" si="0"/>
        <v>2</v>
      </c>
      <c r="C42" s="465">
        <f t="shared" si="1"/>
        <v>2</v>
      </c>
      <c r="D42" s="465" t="str">
        <f t="shared" si="2"/>
        <v>Laboral</v>
      </c>
      <c r="E42" s="626"/>
      <c r="F42" s="626"/>
      <c r="G42" s="626"/>
      <c r="H42" s="626"/>
      <c r="I42" s="626"/>
      <c r="J42" s="626"/>
      <c r="K42" s="626"/>
      <c r="L42" s="626"/>
      <c r="M42" s="626"/>
      <c r="N42" s="626"/>
      <c r="O42" s="626"/>
      <c r="P42" s="626"/>
      <c r="Q42" s="626"/>
      <c r="R42" s="626"/>
      <c r="S42" s="626"/>
      <c r="T42" s="618">
        <f t="shared" si="3"/>
        <v>0</v>
      </c>
      <c r="V42" s="465">
        <f t="shared" si="5"/>
        <v>0</v>
      </c>
      <c r="W42" s="469">
        <f t="shared" si="6"/>
        <v>0</v>
      </c>
      <c r="X42" s="469">
        <f t="shared" si="7"/>
        <v>0</v>
      </c>
      <c r="Y42" s="469">
        <f t="shared" si="8"/>
        <v>0</v>
      </c>
      <c r="Z42" s="469">
        <f t="shared" si="9"/>
        <v>0</v>
      </c>
      <c r="AA42" s="469">
        <f t="shared" si="10"/>
        <v>0</v>
      </c>
      <c r="AB42" s="469">
        <f t="shared" si="11"/>
        <v>0</v>
      </c>
      <c r="AC42" s="469">
        <f t="shared" si="12"/>
        <v>0</v>
      </c>
      <c r="AD42" s="469">
        <f t="shared" si="13"/>
        <v>0</v>
      </c>
      <c r="AE42" s="469">
        <f t="shared" si="14"/>
        <v>0</v>
      </c>
      <c r="AF42" s="469">
        <f t="shared" si="15"/>
        <v>0</v>
      </c>
      <c r="AG42" s="469">
        <f t="shared" si="16"/>
        <v>0</v>
      </c>
      <c r="AH42" s="469">
        <f t="shared" si="17"/>
        <v>0</v>
      </c>
    </row>
    <row r="43" spans="1:34">
      <c r="A43" s="617">
        <f t="shared" si="4"/>
        <v>44237</v>
      </c>
      <c r="B43" s="629">
        <f t="shared" si="0"/>
        <v>2</v>
      </c>
      <c r="C43" s="465">
        <f t="shared" si="1"/>
        <v>3</v>
      </c>
      <c r="D43" s="465" t="str">
        <f t="shared" si="2"/>
        <v>Laboral</v>
      </c>
      <c r="E43" s="626"/>
      <c r="F43" s="626"/>
      <c r="G43" s="626"/>
      <c r="H43" s="626"/>
      <c r="I43" s="626"/>
      <c r="J43" s="626"/>
      <c r="K43" s="626"/>
      <c r="L43" s="626"/>
      <c r="M43" s="626"/>
      <c r="N43" s="626"/>
      <c r="O43" s="626"/>
      <c r="P43" s="626"/>
      <c r="Q43" s="626"/>
      <c r="R43" s="626"/>
      <c r="S43" s="626"/>
      <c r="T43" s="618">
        <f t="shared" si="3"/>
        <v>0</v>
      </c>
      <c r="V43" s="465">
        <f t="shared" si="5"/>
        <v>0</v>
      </c>
      <c r="W43" s="469">
        <f t="shared" si="6"/>
        <v>0</v>
      </c>
      <c r="X43" s="469">
        <f t="shared" si="7"/>
        <v>0</v>
      </c>
      <c r="Y43" s="469">
        <f t="shared" si="8"/>
        <v>0</v>
      </c>
      <c r="Z43" s="469">
        <f t="shared" si="9"/>
        <v>0</v>
      </c>
      <c r="AA43" s="469">
        <f t="shared" si="10"/>
        <v>0</v>
      </c>
      <c r="AB43" s="469">
        <f t="shared" si="11"/>
        <v>0</v>
      </c>
      <c r="AC43" s="469">
        <f t="shared" si="12"/>
        <v>0</v>
      </c>
      <c r="AD43" s="469">
        <f t="shared" si="13"/>
        <v>0</v>
      </c>
      <c r="AE43" s="469">
        <f t="shared" si="14"/>
        <v>0</v>
      </c>
      <c r="AF43" s="469">
        <f t="shared" si="15"/>
        <v>0</v>
      </c>
      <c r="AG43" s="469">
        <f t="shared" si="16"/>
        <v>0</v>
      </c>
      <c r="AH43" s="469">
        <f t="shared" si="17"/>
        <v>0</v>
      </c>
    </row>
    <row r="44" spans="1:34">
      <c r="A44" s="617">
        <f t="shared" si="4"/>
        <v>44238</v>
      </c>
      <c r="B44" s="629">
        <f t="shared" si="0"/>
        <v>2</v>
      </c>
      <c r="C44" s="465">
        <f t="shared" si="1"/>
        <v>4</v>
      </c>
      <c r="D44" s="465" t="str">
        <f t="shared" si="2"/>
        <v>Laboral</v>
      </c>
      <c r="E44" s="626"/>
      <c r="F44" s="626"/>
      <c r="G44" s="626"/>
      <c r="H44" s="626"/>
      <c r="I44" s="626"/>
      <c r="J44" s="626"/>
      <c r="K44" s="626"/>
      <c r="L44" s="626"/>
      <c r="M44" s="626"/>
      <c r="N44" s="626"/>
      <c r="O44" s="626"/>
      <c r="P44" s="626"/>
      <c r="Q44" s="626"/>
      <c r="R44" s="626"/>
      <c r="S44" s="626"/>
      <c r="T44" s="618">
        <f t="shared" si="3"/>
        <v>0</v>
      </c>
      <c r="V44" s="465">
        <f t="shared" si="5"/>
        <v>0</v>
      </c>
      <c r="W44" s="469">
        <f t="shared" si="6"/>
        <v>0</v>
      </c>
      <c r="X44" s="469">
        <f t="shared" si="7"/>
        <v>0</v>
      </c>
      <c r="Y44" s="469">
        <f t="shared" si="8"/>
        <v>0</v>
      </c>
      <c r="Z44" s="469">
        <f t="shared" si="9"/>
        <v>0</v>
      </c>
      <c r="AA44" s="469">
        <f t="shared" si="10"/>
        <v>0</v>
      </c>
      <c r="AB44" s="469">
        <f t="shared" si="11"/>
        <v>0</v>
      </c>
      <c r="AC44" s="469">
        <f t="shared" si="12"/>
        <v>0</v>
      </c>
      <c r="AD44" s="469">
        <f t="shared" si="13"/>
        <v>0</v>
      </c>
      <c r="AE44" s="469">
        <f t="shared" si="14"/>
        <v>0</v>
      </c>
      <c r="AF44" s="469">
        <f t="shared" si="15"/>
        <v>0</v>
      </c>
      <c r="AG44" s="469">
        <f t="shared" si="16"/>
        <v>0</v>
      </c>
      <c r="AH44" s="469">
        <f t="shared" si="17"/>
        <v>0</v>
      </c>
    </row>
    <row r="45" spans="1:34">
      <c r="A45" s="617">
        <f t="shared" si="4"/>
        <v>44239</v>
      </c>
      <c r="B45" s="629">
        <f t="shared" si="0"/>
        <v>2</v>
      </c>
      <c r="C45" s="465">
        <f t="shared" si="1"/>
        <v>5</v>
      </c>
      <c r="D45" s="465" t="str">
        <f t="shared" si="2"/>
        <v>Laboral</v>
      </c>
      <c r="E45" s="626"/>
      <c r="F45" s="626"/>
      <c r="G45" s="626"/>
      <c r="H45" s="626"/>
      <c r="I45" s="626"/>
      <c r="J45" s="626"/>
      <c r="K45" s="626"/>
      <c r="L45" s="626"/>
      <c r="M45" s="626"/>
      <c r="N45" s="626"/>
      <c r="O45" s="626"/>
      <c r="P45" s="626"/>
      <c r="Q45" s="626"/>
      <c r="R45" s="626"/>
      <c r="S45" s="626"/>
      <c r="T45" s="618">
        <f t="shared" si="3"/>
        <v>0</v>
      </c>
      <c r="V45" s="465">
        <f t="shared" si="5"/>
        <v>0</v>
      </c>
      <c r="W45" s="469">
        <f t="shared" si="6"/>
        <v>0</v>
      </c>
      <c r="X45" s="469">
        <f t="shared" si="7"/>
        <v>0</v>
      </c>
      <c r="Y45" s="469">
        <f t="shared" si="8"/>
        <v>0</v>
      </c>
      <c r="Z45" s="469">
        <f t="shared" si="9"/>
        <v>0</v>
      </c>
      <c r="AA45" s="469">
        <f t="shared" si="10"/>
        <v>0</v>
      </c>
      <c r="AB45" s="469">
        <f t="shared" si="11"/>
        <v>0</v>
      </c>
      <c r="AC45" s="469">
        <f t="shared" si="12"/>
        <v>0</v>
      </c>
      <c r="AD45" s="469">
        <f t="shared" si="13"/>
        <v>0</v>
      </c>
      <c r="AE45" s="469">
        <f t="shared" si="14"/>
        <v>0</v>
      </c>
      <c r="AF45" s="469">
        <f t="shared" si="15"/>
        <v>0</v>
      </c>
      <c r="AG45" s="469">
        <f t="shared" si="16"/>
        <v>0</v>
      </c>
      <c r="AH45" s="469">
        <f t="shared" si="17"/>
        <v>0</v>
      </c>
    </row>
    <row r="46" spans="1:34">
      <c r="A46" s="617">
        <f t="shared" si="4"/>
        <v>44240</v>
      </c>
      <c r="B46" s="629">
        <f t="shared" si="0"/>
        <v>2</v>
      </c>
      <c r="C46" s="465">
        <f t="shared" si="1"/>
        <v>6</v>
      </c>
      <c r="D46" s="465" t="str">
        <f t="shared" si="2"/>
        <v>Festivo</v>
      </c>
      <c r="E46" s="626"/>
      <c r="F46" s="626"/>
      <c r="G46" s="626"/>
      <c r="H46" s="626"/>
      <c r="I46" s="626"/>
      <c r="J46" s="626"/>
      <c r="K46" s="626"/>
      <c r="L46" s="626"/>
      <c r="M46" s="626"/>
      <c r="N46" s="626"/>
      <c r="O46" s="626"/>
      <c r="P46" s="626"/>
      <c r="Q46" s="626"/>
      <c r="R46" s="626"/>
      <c r="S46" s="626"/>
      <c r="T46" s="618">
        <f t="shared" si="3"/>
        <v>0</v>
      </c>
      <c r="V46" s="465">
        <f t="shared" si="5"/>
        <v>0</v>
      </c>
      <c r="W46" s="469">
        <f t="shared" si="6"/>
        <v>0</v>
      </c>
      <c r="X46" s="469">
        <f t="shared" si="7"/>
        <v>0</v>
      </c>
      <c r="Y46" s="469">
        <f t="shared" si="8"/>
        <v>0</v>
      </c>
      <c r="Z46" s="469">
        <f t="shared" si="9"/>
        <v>0</v>
      </c>
      <c r="AA46" s="469">
        <f t="shared" si="10"/>
        <v>0</v>
      </c>
      <c r="AB46" s="469">
        <f t="shared" si="11"/>
        <v>0</v>
      </c>
      <c r="AC46" s="469">
        <f t="shared" si="12"/>
        <v>0</v>
      </c>
      <c r="AD46" s="469">
        <f t="shared" si="13"/>
        <v>0</v>
      </c>
      <c r="AE46" s="469">
        <f t="shared" si="14"/>
        <v>0</v>
      </c>
      <c r="AF46" s="469">
        <f t="shared" si="15"/>
        <v>0</v>
      </c>
      <c r="AG46" s="469">
        <f t="shared" si="16"/>
        <v>0</v>
      </c>
      <c r="AH46" s="469">
        <f t="shared" si="17"/>
        <v>0</v>
      </c>
    </row>
    <row r="47" spans="1:34">
      <c r="A47" s="617">
        <f t="shared" si="4"/>
        <v>44241</v>
      </c>
      <c r="B47" s="629">
        <f t="shared" si="0"/>
        <v>2</v>
      </c>
      <c r="C47" s="465">
        <f t="shared" si="1"/>
        <v>7</v>
      </c>
      <c r="D47" s="465" t="str">
        <f t="shared" si="2"/>
        <v>Festivo</v>
      </c>
      <c r="E47" s="626"/>
      <c r="F47" s="626"/>
      <c r="G47" s="626"/>
      <c r="H47" s="626"/>
      <c r="I47" s="626"/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18">
        <f t="shared" si="3"/>
        <v>0</v>
      </c>
    </row>
    <row r="48" spans="1:34">
      <c r="A48" s="617">
        <f t="shared" si="4"/>
        <v>44242</v>
      </c>
      <c r="B48" s="629">
        <f t="shared" si="0"/>
        <v>2</v>
      </c>
      <c r="C48" s="465">
        <f t="shared" si="1"/>
        <v>1</v>
      </c>
      <c r="D48" s="465" t="str">
        <f t="shared" si="2"/>
        <v>Laboral</v>
      </c>
      <c r="E48" s="626"/>
      <c r="F48" s="626"/>
      <c r="G48" s="626"/>
      <c r="H48" s="626"/>
      <c r="I48" s="626"/>
      <c r="J48" s="626"/>
      <c r="K48" s="626"/>
      <c r="L48" s="626"/>
      <c r="M48" s="626"/>
      <c r="N48" s="626"/>
      <c r="O48" s="626"/>
      <c r="P48" s="626"/>
      <c r="Q48" s="626"/>
      <c r="R48" s="626"/>
      <c r="S48" s="626"/>
      <c r="T48" s="618">
        <f t="shared" si="3"/>
        <v>0</v>
      </c>
    </row>
    <row r="49" spans="1:20">
      <c r="A49" s="617">
        <f t="shared" si="4"/>
        <v>44243</v>
      </c>
      <c r="B49" s="629">
        <f t="shared" si="0"/>
        <v>2</v>
      </c>
      <c r="C49" s="465">
        <f t="shared" si="1"/>
        <v>2</v>
      </c>
      <c r="D49" s="465" t="str">
        <f t="shared" si="2"/>
        <v>Laboral</v>
      </c>
      <c r="E49" s="626"/>
      <c r="F49" s="626"/>
      <c r="G49" s="626"/>
      <c r="H49" s="626"/>
      <c r="I49" s="626"/>
      <c r="J49" s="626"/>
      <c r="K49" s="626"/>
      <c r="L49" s="626"/>
      <c r="M49" s="626"/>
      <c r="N49" s="626"/>
      <c r="O49" s="626"/>
      <c r="P49" s="626"/>
      <c r="Q49" s="626"/>
      <c r="R49" s="626"/>
      <c r="S49" s="626"/>
      <c r="T49" s="618">
        <f t="shared" si="3"/>
        <v>0</v>
      </c>
    </row>
    <row r="50" spans="1:20">
      <c r="A50" s="617">
        <f t="shared" si="4"/>
        <v>44244</v>
      </c>
      <c r="B50" s="629">
        <f t="shared" si="0"/>
        <v>2</v>
      </c>
      <c r="C50" s="465">
        <f t="shared" si="1"/>
        <v>3</v>
      </c>
      <c r="D50" s="465" t="str">
        <f t="shared" si="2"/>
        <v>Laboral</v>
      </c>
      <c r="E50" s="626"/>
      <c r="F50" s="626"/>
      <c r="G50" s="626"/>
      <c r="H50" s="626"/>
      <c r="I50" s="626"/>
      <c r="J50" s="626"/>
      <c r="K50" s="626"/>
      <c r="L50" s="626"/>
      <c r="M50" s="626"/>
      <c r="N50" s="626"/>
      <c r="O50" s="626"/>
      <c r="P50" s="626"/>
      <c r="Q50" s="626"/>
      <c r="R50" s="626"/>
      <c r="S50" s="626"/>
      <c r="T50" s="618">
        <f t="shared" si="3"/>
        <v>0</v>
      </c>
    </row>
    <row r="51" spans="1:20">
      <c r="A51" s="617">
        <f t="shared" si="4"/>
        <v>44245</v>
      </c>
      <c r="B51" s="629">
        <f t="shared" si="0"/>
        <v>2</v>
      </c>
      <c r="C51" s="465">
        <f t="shared" si="1"/>
        <v>4</v>
      </c>
      <c r="D51" s="465" t="str">
        <f t="shared" si="2"/>
        <v>Laboral</v>
      </c>
      <c r="E51" s="626"/>
      <c r="F51" s="626"/>
      <c r="G51" s="626"/>
      <c r="H51" s="626"/>
      <c r="I51" s="626"/>
      <c r="J51" s="626"/>
      <c r="K51" s="626"/>
      <c r="L51" s="626"/>
      <c r="M51" s="626"/>
      <c r="N51" s="626"/>
      <c r="O51" s="626"/>
      <c r="P51" s="626"/>
      <c r="Q51" s="626"/>
      <c r="R51" s="626"/>
      <c r="S51" s="626"/>
      <c r="T51" s="618">
        <f t="shared" si="3"/>
        <v>0</v>
      </c>
    </row>
    <row r="52" spans="1:20">
      <c r="A52" s="617">
        <f t="shared" si="4"/>
        <v>44246</v>
      </c>
      <c r="B52" s="629">
        <f t="shared" si="0"/>
        <v>2</v>
      </c>
      <c r="C52" s="465">
        <f t="shared" si="1"/>
        <v>5</v>
      </c>
      <c r="D52" s="465" t="str">
        <f t="shared" si="2"/>
        <v>Laboral</v>
      </c>
      <c r="E52" s="626"/>
      <c r="F52" s="626"/>
      <c r="G52" s="626"/>
      <c r="H52" s="626"/>
      <c r="I52" s="626"/>
      <c r="J52" s="626"/>
      <c r="K52" s="626"/>
      <c r="L52" s="626"/>
      <c r="M52" s="626"/>
      <c r="N52" s="626"/>
      <c r="O52" s="626"/>
      <c r="P52" s="626"/>
      <c r="Q52" s="626"/>
      <c r="R52" s="626"/>
      <c r="S52" s="626"/>
      <c r="T52" s="618">
        <f t="shared" si="3"/>
        <v>0</v>
      </c>
    </row>
    <row r="53" spans="1:20">
      <c r="A53" s="617">
        <f t="shared" si="4"/>
        <v>44247</v>
      </c>
      <c r="B53" s="629">
        <f t="shared" si="0"/>
        <v>2</v>
      </c>
      <c r="C53" s="465">
        <f t="shared" si="1"/>
        <v>6</v>
      </c>
      <c r="D53" s="465" t="str">
        <f t="shared" si="2"/>
        <v>Festivo</v>
      </c>
      <c r="E53" s="626"/>
      <c r="F53" s="626"/>
      <c r="G53" s="626"/>
      <c r="H53" s="626"/>
      <c r="I53" s="626"/>
      <c r="J53" s="626"/>
      <c r="K53" s="626"/>
      <c r="L53" s="626"/>
      <c r="M53" s="626"/>
      <c r="N53" s="626"/>
      <c r="O53" s="626"/>
      <c r="P53" s="626"/>
      <c r="Q53" s="626"/>
      <c r="R53" s="626"/>
      <c r="S53" s="626"/>
      <c r="T53" s="618">
        <f t="shared" si="3"/>
        <v>0</v>
      </c>
    </row>
    <row r="54" spans="1:20">
      <c r="A54" s="617">
        <f t="shared" si="4"/>
        <v>44248</v>
      </c>
      <c r="B54" s="629">
        <f t="shared" si="0"/>
        <v>2</v>
      </c>
      <c r="C54" s="465">
        <f t="shared" si="1"/>
        <v>7</v>
      </c>
      <c r="D54" s="465" t="str">
        <f t="shared" si="2"/>
        <v>Festivo</v>
      </c>
      <c r="E54" s="626"/>
      <c r="F54" s="626"/>
      <c r="G54" s="626"/>
      <c r="H54" s="626"/>
      <c r="I54" s="626"/>
      <c r="J54" s="626"/>
      <c r="K54" s="626"/>
      <c r="L54" s="626"/>
      <c r="M54" s="626"/>
      <c r="N54" s="626"/>
      <c r="O54" s="626"/>
      <c r="P54" s="626"/>
      <c r="Q54" s="626"/>
      <c r="R54" s="626"/>
      <c r="S54" s="626"/>
      <c r="T54" s="618">
        <f t="shared" si="3"/>
        <v>0</v>
      </c>
    </row>
    <row r="55" spans="1:20">
      <c r="A55" s="617">
        <f t="shared" si="4"/>
        <v>44249</v>
      </c>
      <c r="B55" s="629">
        <f t="shared" si="0"/>
        <v>2</v>
      </c>
      <c r="C55" s="465">
        <f t="shared" si="1"/>
        <v>1</v>
      </c>
      <c r="D55" s="465" t="str">
        <f t="shared" si="2"/>
        <v>Laboral</v>
      </c>
      <c r="E55" s="626"/>
      <c r="F55" s="626"/>
      <c r="G55" s="626"/>
      <c r="H55" s="626"/>
      <c r="I55" s="626"/>
      <c r="J55" s="626"/>
      <c r="K55" s="626"/>
      <c r="L55" s="626"/>
      <c r="M55" s="626"/>
      <c r="N55" s="626"/>
      <c r="O55" s="626"/>
      <c r="P55" s="626"/>
      <c r="Q55" s="626"/>
      <c r="R55" s="626"/>
      <c r="S55" s="626"/>
      <c r="T55" s="618">
        <f t="shared" si="3"/>
        <v>0</v>
      </c>
    </row>
    <row r="56" spans="1:20">
      <c r="A56" s="617">
        <f t="shared" si="4"/>
        <v>44250</v>
      </c>
      <c r="B56" s="629">
        <f t="shared" si="0"/>
        <v>2</v>
      </c>
      <c r="C56" s="465">
        <f t="shared" si="1"/>
        <v>2</v>
      </c>
      <c r="D56" s="465" t="str">
        <f t="shared" si="2"/>
        <v>Laboral</v>
      </c>
      <c r="E56" s="626"/>
      <c r="F56" s="626"/>
      <c r="G56" s="626"/>
      <c r="H56" s="626"/>
      <c r="I56" s="626"/>
      <c r="J56" s="626"/>
      <c r="K56" s="626"/>
      <c r="L56" s="626"/>
      <c r="M56" s="626"/>
      <c r="N56" s="626"/>
      <c r="O56" s="626"/>
      <c r="P56" s="626"/>
      <c r="Q56" s="626"/>
      <c r="R56" s="626"/>
      <c r="S56" s="626"/>
      <c r="T56" s="618">
        <f t="shared" si="3"/>
        <v>0</v>
      </c>
    </row>
    <row r="57" spans="1:20">
      <c r="A57" s="617">
        <f t="shared" si="4"/>
        <v>44251</v>
      </c>
      <c r="B57" s="629">
        <f t="shared" si="0"/>
        <v>2</v>
      </c>
      <c r="C57" s="465">
        <f t="shared" si="1"/>
        <v>3</v>
      </c>
      <c r="D57" s="465" t="str">
        <f t="shared" si="2"/>
        <v>Laboral</v>
      </c>
      <c r="E57" s="626"/>
      <c r="F57" s="626"/>
      <c r="G57" s="626"/>
      <c r="H57" s="626"/>
      <c r="I57" s="626"/>
      <c r="J57" s="626"/>
      <c r="K57" s="626"/>
      <c r="L57" s="626"/>
      <c r="M57" s="626"/>
      <c r="N57" s="626"/>
      <c r="O57" s="626"/>
      <c r="P57" s="626"/>
      <c r="Q57" s="626"/>
      <c r="R57" s="626"/>
      <c r="S57" s="626"/>
      <c r="T57" s="618">
        <f t="shared" si="3"/>
        <v>0</v>
      </c>
    </row>
    <row r="58" spans="1:20">
      <c r="A58" s="617">
        <f t="shared" si="4"/>
        <v>44252</v>
      </c>
      <c r="B58" s="629">
        <f t="shared" si="0"/>
        <v>2</v>
      </c>
      <c r="C58" s="465">
        <f t="shared" si="1"/>
        <v>4</v>
      </c>
      <c r="D58" s="465" t="str">
        <f t="shared" si="2"/>
        <v>Laboral</v>
      </c>
      <c r="E58" s="626"/>
      <c r="F58" s="626"/>
      <c r="G58" s="626"/>
      <c r="H58" s="626"/>
      <c r="I58" s="626"/>
      <c r="J58" s="626"/>
      <c r="K58" s="626"/>
      <c r="L58" s="626"/>
      <c r="M58" s="626"/>
      <c r="N58" s="626"/>
      <c r="O58" s="626"/>
      <c r="P58" s="626"/>
      <c r="Q58" s="626"/>
      <c r="R58" s="626"/>
      <c r="S58" s="626"/>
      <c r="T58" s="618">
        <f t="shared" si="3"/>
        <v>0</v>
      </c>
    </row>
    <row r="59" spans="1:20">
      <c r="A59" s="617">
        <f t="shared" si="4"/>
        <v>44253</v>
      </c>
      <c r="B59" s="629">
        <f t="shared" si="0"/>
        <v>2</v>
      </c>
      <c r="C59" s="465">
        <f t="shared" si="1"/>
        <v>5</v>
      </c>
      <c r="D59" s="465" t="str">
        <f t="shared" si="2"/>
        <v>Laboral</v>
      </c>
      <c r="E59" s="626"/>
      <c r="F59" s="626"/>
      <c r="G59" s="626"/>
      <c r="H59" s="626"/>
      <c r="I59" s="626"/>
      <c r="J59" s="626"/>
      <c r="K59" s="626"/>
      <c r="L59" s="626"/>
      <c r="M59" s="626"/>
      <c r="N59" s="626"/>
      <c r="O59" s="626"/>
      <c r="P59" s="626"/>
      <c r="Q59" s="626"/>
      <c r="R59" s="626"/>
      <c r="S59" s="626"/>
      <c r="T59" s="618">
        <f t="shared" si="3"/>
        <v>0</v>
      </c>
    </row>
    <row r="60" spans="1:20">
      <c r="A60" s="617">
        <f t="shared" si="4"/>
        <v>44254</v>
      </c>
      <c r="B60" s="629">
        <f t="shared" si="0"/>
        <v>2</v>
      </c>
      <c r="C60" s="465">
        <f t="shared" si="1"/>
        <v>6</v>
      </c>
      <c r="D60" s="465" t="str">
        <f t="shared" si="2"/>
        <v>Festivo</v>
      </c>
      <c r="E60" s="626"/>
      <c r="F60" s="626"/>
      <c r="G60" s="626"/>
      <c r="H60" s="626"/>
      <c r="I60" s="626"/>
      <c r="J60" s="626"/>
      <c r="K60" s="626"/>
      <c r="L60" s="626"/>
      <c r="M60" s="626"/>
      <c r="N60" s="626"/>
      <c r="O60" s="626"/>
      <c r="P60" s="626"/>
      <c r="Q60" s="626"/>
      <c r="R60" s="626"/>
      <c r="S60" s="626"/>
      <c r="T60" s="618">
        <f t="shared" si="3"/>
        <v>0</v>
      </c>
    </row>
    <row r="61" spans="1:20">
      <c r="A61" s="617">
        <f t="shared" si="4"/>
        <v>44255</v>
      </c>
      <c r="B61" s="629">
        <f t="shared" si="0"/>
        <v>2</v>
      </c>
      <c r="C61" s="465">
        <f t="shared" si="1"/>
        <v>7</v>
      </c>
      <c r="D61" s="465" t="str">
        <f t="shared" si="2"/>
        <v>Festivo</v>
      </c>
      <c r="E61" s="626"/>
      <c r="F61" s="626"/>
      <c r="G61" s="626"/>
      <c r="H61" s="626"/>
      <c r="I61" s="626"/>
      <c r="J61" s="626"/>
      <c r="K61" s="626"/>
      <c r="L61" s="626"/>
      <c r="M61" s="626"/>
      <c r="N61" s="626"/>
      <c r="O61" s="626"/>
      <c r="P61" s="626"/>
      <c r="Q61" s="626"/>
      <c r="R61" s="626"/>
      <c r="S61" s="626"/>
      <c r="T61" s="618">
        <f t="shared" si="3"/>
        <v>0</v>
      </c>
    </row>
    <row r="62" spans="1:20">
      <c r="A62" s="617">
        <f t="shared" si="4"/>
        <v>44256</v>
      </c>
      <c r="B62" s="629">
        <f t="shared" si="0"/>
        <v>3</v>
      </c>
      <c r="C62" s="465">
        <f t="shared" si="1"/>
        <v>1</v>
      </c>
      <c r="D62" s="465" t="str">
        <f t="shared" si="2"/>
        <v>Laboral</v>
      </c>
      <c r="E62" s="626"/>
      <c r="F62" s="626"/>
      <c r="G62" s="626"/>
      <c r="H62" s="626"/>
      <c r="I62" s="626"/>
      <c r="J62" s="626"/>
      <c r="K62" s="626"/>
      <c r="L62" s="626"/>
      <c r="M62" s="626"/>
      <c r="N62" s="626"/>
      <c r="O62" s="626"/>
      <c r="P62" s="626"/>
      <c r="Q62" s="626"/>
      <c r="R62" s="626"/>
      <c r="S62" s="626"/>
      <c r="T62" s="618">
        <f t="shared" si="3"/>
        <v>0</v>
      </c>
    </row>
    <row r="63" spans="1:20">
      <c r="A63" s="617">
        <f t="shared" si="4"/>
        <v>44257</v>
      </c>
      <c r="B63" s="629">
        <f t="shared" si="0"/>
        <v>3</v>
      </c>
      <c r="C63" s="465">
        <f t="shared" si="1"/>
        <v>2</v>
      </c>
      <c r="D63" s="465" t="str">
        <f t="shared" si="2"/>
        <v>Laboral</v>
      </c>
      <c r="E63" s="626"/>
      <c r="F63" s="626"/>
      <c r="G63" s="626"/>
      <c r="H63" s="626"/>
      <c r="I63" s="626"/>
      <c r="J63" s="626"/>
      <c r="K63" s="626"/>
      <c r="L63" s="626"/>
      <c r="M63" s="626"/>
      <c r="N63" s="626"/>
      <c r="O63" s="626"/>
      <c r="P63" s="626"/>
      <c r="Q63" s="626"/>
      <c r="R63" s="626"/>
      <c r="S63" s="626"/>
      <c r="T63" s="618">
        <f t="shared" si="3"/>
        <v>0</v>
      </c>
    </row>
    <row r="64" spans="1:20">
      <c r="A64" s="617">
        <f t="shared" si="4"/>
        <v>44258</v>
      </c>
      <c r="B64" s="629">
        <f t="shared" si="0"/>
        <v>3</v>
      </c>
      <c r="C64" s="465">
        <f t="shared" si="1"/>
        <v>3</v>
      </c>
      <c r="D64" s="465" t="str">
        <f t="shared" si="2"/>
        <v>Laboral</v>
      </c>
      <c r="E64" s="626"/>
      <c r="F64" s="626"/>
      <c r="G64" s="626"/>
      <c r="H64" s="626"/>
      <c r="I64" s="626"/>
      <c r="J64" s="626"/>
      <c r="K64" s="626"/>
      <c r="L64" s="626"/>
      <c r="M64" s="626"/>
      <c r="N64" s="626"/>
      <c r="O64" s="626"/>
      <c r="P64" s="626"/>
      <c r="Q64" s="626"/>
      <c r="R64" s="626"/>
      <c r="S64" s="626"/>
      <c r="T64" s="618">
        <f t="shared" si="3"/>
        <v>0</v>
      </c>
    </row>
    <row r="65" spans="1:20">
      <c r="A65" s="617">
        <f t="shared" si="4"/>
        <v>44259</v>
      </c>
      <c r="B65" s="629">
        <f t="shared" si="0"/>
        <v>3</v>
      </c>
      <c r="C65" s="465">
        <f t="shared" si="1"/>
        <v>4</v>
      </c>
      <c r="D65" s="465" t="str">
        <f t="shared" si="2"/>
        <v>Laboral</v>
      </c>
      <c r="E65" s="626"/>
      <c r="F65" s="626"/>
      <c r="G65" s="626"/>
      <c r="H65" s="626"/>
      <c r="I65" s="626"/>
      <c r="J65" s="626"/>
      <c r="K65" s="626"/>
      <c r="L65" s="626"/>
      <c r="M65" s="626"/>
      <c r="N65" s="626"/>
      <c r="O65" s="626"/>
      <c r="P65" s="626"/>
      <c r="Q65" s="626"/>
      <c r="R65" s="626"/>
      <c r="S65" s="626"/>
      <c r="T65" s="618">
        <f t="shared" si="3"/>
        <v>0</v>
      </c>
    </row>
    <row r="66" spans="1:20">
      <c r="A66" s="617">
        <f t="shared" si="4"/>
        <v>44260</v>
      </c>
      <c r="B66" s="629">
        <f t="shared" si="0"/>
        <v>3</v>
      </c>
      <c r="C66" s="465">
        <f t="shared" si="1"/>
        <v>5</v>
      </c>
      <c r="D66" s="465" t="str">
        <f t="shared" si="2"/>
        <v>Laboral</v>
      </c>
      <c r="E66" s="626"/>
      <c r="F66" s="626"/>
      <c r="G66" s="626"/>
      <c r="H66" s="626"/>
      <c r="I66" s="626"/>
      <c r="J66" s="626"/>
      <c r="K66" s="626"/>
      <c r="L66" s="626"/>
      <c r="M66" s="626"/>
      <c r="N66" s="626"/>
      <c r="O66" s="626"/>
      <c r="P66" s="626"/>
      <c r="Q66" s="626"/>
      <c r="R66" s="626"/>
      <c r="S66" s="626"/>
      <c r="T66" s="618">
        <f t="shared" si="3"/>
        <v>0</v>
      </c>
    </row>
    <row r="67" spans="1:20">
      <c r="A67" s="617">
        <f t="shared" si="4"/>
        <v>44261</v>
      </c>
      <c r="B67" s="629">
        <f t="shared" si="0"/>
        <v>3</v>
      </c>
      <c r="C67" s="465">
        <f t="shared" si="1"/>
        <v>6</v>
      </c>
      <c r="D67" s="465" t="str">
        <f t="shared" si="2"/>
        <v>Festivo</v>
      </c>
      <c r="E67" s="626"/>
      <c r="F67" s="626"/>
      <c r="G67" s="626"/>
      <c r="H67" s="626"/>
      <c r="I67" s="626"/>
      <c r="J67" s="626"/>
      <c r="K67" s="626"/>
      <c r="L67" s="626"/>
      <c r="M67" s="626"/>
      <c r="N67" s="626"/>
      <c r="O67" s="626"/>
      <c r="P67" s="626"/>
      <c r="Q67" s="626"/>
      <c r="R67" s="626"/>
      <c r="S67" s="626"/>
      <c r="T67" s="618">
        <f t="shared" si="3"/>
        <v>0</v>
      </c>
    </row>
    <row r="68" spans="1:20">
      <c r="A68" s="617">
        <f t="shared" si="4"/>
        <v>44262</v>
      </c>
      <c r="B68" s="629">
        <f t="shared" ref="B68:B131" si="18">MONTH(A68)</f>
        <v>3</v>
      </c>
      <c r="C68" s="465">
        <f t="shared" ref="C68:C131" si="19">WEEKDAY(A68,2)</f>
        <v>7</v>
      </c>
      <c r="D68" s="465" t="str">
        <f t="shared" ref="D68:D131" si="20">IF(OR(C68=$X$4,C68=$X$3,A68=$W$6,A68=$W$7,A68=$W$8,A68=$W$9,A68=$W$10,A68=$W$11,A68=$W$12,A68=$W$13,A68=$W$14,A68=$W$15,A68=$W$16,A68=$W$17,A68=$W$18,A68=$W$19,A68=$W$20),"Festivo","Laboral")</f>
        <v>Festivo</v>
      </c>
      <c r="E68" s="626"/>
      <c r="F68" s="626"/>
      <c r="G68" s="626"/>
      <c r="H68" s="626"/>
      <c r="I68" s="626"/>
      <c r="J68" s="626"/>
      <c r="K68" s="626"/>
      <c r="L68" s="626"/>
      <c r="M68" s="626"/>
      <c r="N68" s="626"/>
      <c r="O68" s="626"/>
      <c r="P68" s="626"/>
      <c r="Q68" s="626"/>
      <c r="R68" s="626"/>
      <c r="S68" s="626"/>
      <c r="T68" s="618">
        <f t="shared" ref="T68:T131" si="21">SUMPRODUCT(E68:S68,E$1:S$1)</f>
        <v>0</v>
      </c>
    </row>
    <row r="69" spans="1:20">
      <c r="A69" s="617">
        <f t="shared" ref="A69:A132" si="22">+A68+1</f>
        <v>44263</v>
      </c>
      <c r="B69" s="629">
        <f t="shared" si="18"/>
        <v>3</v>
      </c>
      <c r="C69" s="465">
        <f t="shared" si="19"/>
        <v>1</v>
      </c>
      <c r="D69" s="465" t="str">
        <f t="shared" si="20"/>
        <v>Laboral</v>
      </c>
      <c r="E69" s="626"/>
      <c r="F69" s="626"/>
      <c r="G69" s="626"/>
      <c r="H69" s="626"/>
      <c r="I69" s="626"/>
      <c r="J69" s="626"/>
      <c r="K69" s="626"/>
      <c r="L69" s="626"/>
      <c r="M69" s="626"/>
      <c r="N69" s="626"/>
      <c r="O69" s="626"/>
      <c r="P69" s="626"/>
      <c r="Q69" s="626"/>
      <c r="R69" s="626"/>
      <c r="S69" s="626"/>
      <c r="T69" s="618">
        <f t="shared" si="21"/>
        <v>0</v>
      </c>
    </row>
    <row r="70" spans="1:20">
      <c r="A70" s="617">
        <f t="shared" si="22"/>
        <v>44264</v>
      </c>
      <c r="B70" s="629">
        <f t="shared" si="18"/>
        <v>3</v>
      </c>
      <c r="C70" s="465">
        <f t="shared" si="19"/>
        <v>2</v>
      </c>
      <c r="D70" s="465" t="str">
        <f t="shared" si="20"/>
        <v>Laboral</v>
      </c>
      <c r="E70" s="626"/>
      <c r="F70" s="626"/>
      <c r="G70" s="626"/>
      <c r="H70" s="626"/>
      <c r="I70" s="626"/>
      <c r="J70" s="626"/>
      <c r="K70" s="626"/>
      <c r="L70" s="626"/>
      <c r="M70" s="626"/>
      <c r="N70" s="626"/>
      <c r="O70" s="626"/>
      <c r="P70" s="626"/>
      <c r="Q70" s="626"/>
      <c r="R70" s="626"/>
      <c r="S70" s="626"/>
      <c r="T70" s="618">
        <f t="shared" si="21"/>
        <v>0</v>
      </c>
    </row>
    <row r="71" spans="1:20">
      <c r="A71" s="617">
        <f t="shared" si="22"/>
        <v>44265</v>
      </c>
      <c r="B71" s="629">
        <f t="shared" si="18"/>
        <v>3</v>
      </c>
      <c r="C71" s="465">
        <f t="shared" si="19"/>
        <v>3</v>
      </c>
      <c r="D71" s="465" t="str">
        <f t="shared" si="20"/>
        <v>Laboral</v>
      </c>
      <c r="E71" s="626"/>
      <c r="F71" s="626"/>
      <c r="G71" s="626"/>
      <c r="H71" s="626"/>
      <c r="I71" s="626"/>
      <c r="J71" s="626"/>
      <c r="K71" s="626"/>
      <c r="L71" s="626"/>
      <c r="M71" s="626"/>
      <c r="N71" s="626"/>
      <c r="O71" s="626"/>
      <c r="P71" s="626"/>
      <c r="Q71" s="626"/>
      <c r="R71" s="626"/>
      <c r="S71" s="626"/>
      <c r="T71" s="618">
        <f t="shared" si="21"/>
        <v>0</v>
      </c>
    </row>
    <row r="72" spans="1:20">
      <c r="A72" s="617">
        <f t="shared" si="22"/>
        <v>44266</v>
      </c>
      <c r="B72" s="629">
        <f t="shared" si="18"/>
        <v>3</v>
      </c>
      <c r="C72" s="465">
        <f t="shared" si="19"/>
        <v>4</v>
      </c>
      <c r="D72" s="465" t="str">
        <f t="shared" si="20"/>
        <v>Laboral</v>
      </c>
      <c r="E72" s="626"/>
      <c r="F72" s="626"/>
      <c r="G72" s="626"/>
      <c r="H72" s="626"/>
      <c r="I72" s="626"/>
      <c r="J72" s="626"/>
      <c r="K72" s="626"/>
      <c r="L72" s="626"/>
      <c r="M72" s="626"/>
      <c r="N72" s="626"/>
      <c r="O72" s="626"/>
      <c r="P72" s="626"/>
      <c r="Q72" s="626"/>
      <c r="R72" s="626"/>
      <c r="S72" s="626"/>
      <c r="T72" s="618">
        <f t="shared" si="21"/>
        <v>0</v>
      </c>
    </row>
    <row r="73" spans="1:20">
      <c r="A73" s="617">
        <f t="shared" si="22"/>
        <v>44267</v>
      </c>
      <c r="B73" s="629">
        <f t="shared" si="18"/>
        <v>3</v>
      </c>
      <c r="C73" s="465">
        <f t="shared" si="19"/>
        <v>5</v>
      </c>
      <c r="D73" s="465" t="str">
        <f t="shared" si="20"/>
        <v>Laboral</v>
      </c>
      <c r="E73" s="626"/>
      <c r="F73" s="626"/>
      <c r="G73" s="626"/>
      <c r="H73" s="626"/>
      <c r="I73" s="626"/>
      <c r="J73" s="626"/>
      <c r="K73" s="626"/>
      <c r="L73" s="626"/>
      <c r="M73" s="626"/>
      <c r="N73" s="626"/>
      <c r="O73" s="626"/>
      <c r="P73" s="626"/>
      <c r="Q73" s="626"/>
      <c r="R73" s="626"/>
      <c r="S73" s="626"/>
      <c r="T73" s="618">
        <f t="shared" si="21"/>
        <v>0</v>
      </c>
    </row>
    <row r="74" spans="1:20">
      <c r="A74" s="617">
        <f t="shared" si="22"/>
        <v>44268</v>
      </c>
      <c r="B74" s="629">
        <f t="shared" si="18"/>
        <v>3</v>
      </c>
      <c r="C74" s="465">
        <f t="shared" si="19"/>
        <v>6</v>
      </c>
      <c r="D74" s="465" t="str">
        <f t="shared" si="20"/>
        <v>Festivo</v>
      </c>
      <c r="E74" s="626"/>
      <c r="F74" s="626"/>
      <c r="G74" s="626"/>
      <c r="H74" s="626"/>
      <c r="I74" s="626"/>
      <c r="J74" s="626"/>
      <c r="K74" s="626"/>
      <c r="L74" s="626"/>
      <c r="M74" s="626"/>
      <c r="N74" s="626"/>
      <c r="O74" s="626"/>
      <c r="P74" s="626"/>
      <c r="Q74" s="626"/>
      <c r="R74" s="626"/>
      <c r="S74" s="626"/>
      <c r="T74" s="618">
        <f t="shared" si="21"/>
        <v>0</v>
      </c>
    </row>
    <row r="75" spans="1:20">
      <c r="A75" s="617">
        <f t="shared" si="22"/>
        <v>44269</v>
      </c>
      <c r="B75" s="629">
        <f t="shared" si="18"/>
        <v>3</v>
      </c>
      <c r="C75" s="465">
        <f t="shared" si="19"/>
        <v>7</v>
      </c>
      <c r="D75" s="465" t="str">
        <f t="shared" si="20"/>
        <v>Festivo</v>
      </c>
      <c r="E75" s="626"/>
      <c r="F75" s="626"/>
      <c r="G75" s="626"/>
      <c r="H75" s="626"/>
      <c r="I75" s="626"/>
      <c r="J75" s="626"/>
      <c r="K75" s="626"/>
      <c r="L75" s="626"/>
      <c r="M75" s="626"/>
      <c r="N75" s="626"/>
      <c r="O75" s="626"/>
      <c r="P75" s="626"/>
      <c r="Q75" s="626"/>
      <c r="R75" s="626"/>
      <c r="S75" s="626"/>
      <c r="T75" s="618">
        <f t="shared" si="21"/>
        <v>0</v>
      </c>
    </row>
    <row r="76" spans="1:20">
      <c r="A76" s="617">
        <f t="shared" si="22"/>
        <v>44270</v>
      </c>
      <c r="B76" s="629">
        <f t="shared" si="18"/>
        <v>3</v>
      </c>
      <c r="C76" s="465">
        <f t="shared" si="19"/>
        <v>1</v>
      </c>
      <c r="D76" s="465" t="str">
        <f t="shared" si="20"/>
        <v>Laboral</v>
      </c>
      <c r="E76" s="626"/>
      <c r="F76" s="626"/>
      <c r="G76" s="626"/>
      <c r="H76" s="626"/>
      <c r="I76" s="626"/>
      <c r="J76" s="626"/>
      <c r="K76" s="626"/>
      <c r="L76" s="626"/>
      <c r="M76" s="626"/>
      <c r="N76" s="626"/>
      <c r="O76" s="626"/>
      <c r="P76" s="626"/>
      <c r="Q76" s="626"/>
      <c r="R76" s="626"/>
      <c r="S76" s="626"/>
      <c r="T76" s="618">
        <f t="shared" si="21"/>
        <v>0</v>
      </c>
    </row>
    <row r="77" spans="1:20">
      <c r="A77" s="617">
        <f t="shared" si="22"/>
        <v>44271</v>
      </c>
      <c r="B77" s="629">
        <f t="shared" si="18"/>
        <v>3</v>
      </c>
      <c r="C77" s="465">
        <f t="shared" si="19"/>
        <v>2</v>
      </c>
      <c r="D77" s="465" t="str">
        <f t="shared" si="20"/>
        <v>Laboral</v>
      </c>
      <c r="E77" s="626"/>
      <c r="F77" s="626"/>
      <c r="G77" s="626"/>
      <c r="H77" s="626"/>
      <c r="I77" s="626"/>
      <c r="J77" s="626"/>
      <c r="K77" s="626"/>
      <c r="L77" s="626"/>
      <c r="M77" s="626"/>
      <c r="N77" s="626"/>
      <c r="O77" s="626"/>
      <c r="P77" s="626"/>
      <c r="Q77" s="626"/>
      <c r="R77" s="626"/>
      <c r="S77" s="626"/>
      <c r="T77" s="618">
        <f t="shared" si="21"/>
        <v>0</v>
      </c>
    </row>
    <row r="78" spans="1:20">
      <c r="A78" s="617">
        <f t="shared" si="22"/>
        <v>44272</v>
      </c>
      <c r="B78" s="629">
        <f t="shared" si="18"/>
        <v>3</v>
      </c>
      <c r="C78" s="465">
        <f t="shared" si="19"/>
        <v>3</v>
      </c>
      <c r="D78" s="465" t="str">
        <f t="shared" si="20"/>
        <v>Laboral</v>
      </c>
      <c r="E78" s="626"/>
      <c r="F78" s="626"/>
      <c r="G78" s="626"/>
      <c r="H78" s="626"/>
      <c r="I78" s="626"/>
      <c r="J78" s="626"/>
      <c r="K78" s="626"/>
      <c r="L78" s="626"/>
      <c r="M78" s="626"/>
      <c r="N78" s="626"/>
      <c r="O78" s="626"/>
      <c r="P78" s="626"/>
      <c r="Q78" s="626"/>
      <c r="R78" s="626"/>
      <c r="S78" s="626"/>
      <c r="T78" s="618">
        <f t="shared" si="21"/>
        <v>0</v>
      </c>
    </row>
    <row r="79" spans="1:20">
      <c r="A79" s="617">
        <f t="shared" si="22"/>
        <v>44273</v>
      </c>
      <c r="B79" s="629">
        <f t="shared" si="18"/>
        <v>3</v>
      </c>
      <c r="C79" s="465">
        <f t="shared" si="19"/>
        <v>4</v>
      </c>
      <c r="D79" s="465" t="str">
        <f t="shared" si="20"/>
        <v>Laboral</v>
      </c>
      <c r="E79" s="626"/>
      <c r="F79" s="626"/>
      <c r="G79" s="626"/>
      <c r="H79" s="626"/>
      <c r="I79" s="626"/>
      <c r="J79" s="626"/>
      <c r="K79" s="626"/>
      <c r="L79" s="626"/>
      <c r="M79" s="626"/>
      <c r="N79" s="626"/>
      <c r="O79" s="626"/>
      <c r="P79" s="626"/>
      <c r="Q79" s="626"/>
      <c r="R79" s="626"/>
      <c r="S79" s="626"/>
      <c r="T79" s="618">
        <f t="shared" si="21"/>
        <v>0</v>
      </c>
    </row>
    <row r="80" spans="1:20">
      <c r="A80" s="617">
        <f t="shared" si="22"/>
        <v>44274</v>
      </c>
      <c r="B80" s="629">
        <f t="shared" si="18"/>
        <v>3</v>
      </c>
      <c r="C80" s="465">
        <f t="shared" si="19"/>
        <v>5</v>
      </c>
      <c r="D80" s="465" t="str">
        <f t="shared" si="20"/>
        <v>Laboral</v>
      </c>
      <c r="E80" s="626"/>
      <c r="F80" s="626"/>
      <c r="G80" s="626"/>
      <c r="H80" s="626"/>
      <c r="I80" s="626"/>
      <c r="J80" s="626"/>
      <c r="K80" s="626"/>
      <c r="L80" s="626"/>
      <c r="M80" s="626"/>
      <c r="N80" s="626"/>
      <c r="O80" s="626"/>
      <c r="P80" s="626"/>
      <c r="Q80" s="626"/>
      <c r="R80" s="626"/>
      <c r="S80" s="626"/>
      <c r="T80" s="618">
        <f t="shared" si="21"/>
        <v>0</v>
      </c>
    </row>
    <row r="81" spans="1:20">
      <c r="A81" s="617">
        <f t="shared" si="22"/>
        <v>44275</v>
      </c>
      <c r="B81" s="629">
        <f t="shared" si="18"/>
        <v>3</v>
      </c>
      <c r="C81" s="465">
        <f t="shared" si="19"/>
        <v>6</v>
      </c>
      <c r="D81" s="465" t="str">
        <f t="shared" si="20"/>
        <v>Festivo</v>
      </c>
      <c r="E81" s="626"/>
      <c r="F81" s="626"/>
      <c r="G81" s="626"/>
      <c r="H81" s="626"/>
      <c r="I81" s="626"/>
      <c r="J81" s="626"/>
      <c r="K81" s="626"/>
      <c r="L81" s="626"/>
      <c r="M81" s="626"/>
      <c r="N81" s="626"/>
      <c r="O81" s="626"/>
      <c r="P81" s="626"/>
      <c r="Q81" s="626"/>
      <c r="R81" s="626"/>
      <c r="S81" s="626"/>
      <c r="T81" s="618">
        <f t="shared" si="21"/>
        <v>0</v>
      </c>
    </row>
    <row r="82" spans="1:20">
      <c r="A82" s="617">
        <f t="shared" si="22"/>
        <v>44276</v>
      </c>
      <c r="B82" s="629">
        <f t="shared" si="18"/>
        <v>3</v>
      </c>
      <c r="C82" s="465">
        <f t="shared" si="19"/>
        <v>7</v>
      </c>
      <c r="D82" s="465" t="str">
        <f t="shared" si="20"/>
        <v>Festivo</v>
      </c>
      <c r="E82" s="626"/>
      <c r="F82" s="626"/>
      <c r="G82" s="626"/>
      <c r="H82" s="626"/>
      <c r="I82" s="626"/>
      <c r="J82" s="626"/>
      <c r="K82" s="626"/>
      <c r="L82" s="626"/>
      <c r="M82" s="626"/>
      <c r="N82" s="626"/>
      <c r="O82" s="626"/>
      <c r="P82" s="626"/>
      <c r="Q82" s="626"/>
      <c r="R82" s="626"/>
      <c r="S82" s="626"/>
      <c r="T82" s="618">
        <f t="shared" si="21"/>
        <v>0</v>
      </c>
    </row>
    <row r="83" spans="1:20">
      <c r="A83" s="617">
        <f t="shared" si="22"/>
        <v>44277</v>
      </c>
      <c r="B83" s="629">
        <f t="shared" si="18"/>
        <v>3</v>
      </c>
      <c r="C83" s="465">
        <f t="shared" si="19"/>
        <v>1</v>
      </c>
      <c r="D83" s="465" t="str">
        <f t="shared" si="20"/>
        <v>Laboral</v>
      </c>
      <c r="E83" s="626"/>
      <c r="F83" s="626"/>
      <c r="G83" s="626"/>
      <c r="H83" s="626"/>
      <c r="I83" s="626"/>
      <c r="J83" s="626"/>
      <c r="K83" s="626"/>
      <c r="L83" s="626"/>
      <c r="M83" s="626"/>
      <c r="N83" s="626"/>
      <c r="O83" s="626"/>
      <c r="P83" s="626"/>
      <c r="Q83" s="626"/>
      <c r="R83" s="626"/>
      <c r="S83" s="626"/>
      <c r="T83" s="618">
        <f t="shared" si="21"/>
        <v>0</v>
      </c>
    </row>
    <row r="84" spans="1:20">
      <c r="A84" s="617">
        <f t="shared" si="22"/>
        <v>44278</v>
      </c>
      <c r="B84" s="629">
        <f t="shared" si="18"/>
        <v>3</v>
      </c>
      <c r="C84" s="465">
        <f t="shared" si="19"/>
        <v>2</v>
      </c>
      <c r="D84" s="465" t="str">
        <f t="shared" si="20"/>
        <v>Laboral</v>
      </c>
      <c r="E84" s="626"/>
      <c r="F84" s="626"/>
      <c r="G84" s="626"/>
      <c r="H84" s="626"/>
      <c r="I84" s="626"/>
      <c r="J84" s="626"/>
      <c r="K84" s="626"/>
      <c r="L84" s="626"/>
      <c r="M84" s="626"/>
      <c r="N84" s="626"/>
      <c r="O84" s="626"/>
      <c r="P84" s="626"/>
      <c r="Q84" s="626"/>
      <c r="R84" s="626"/>
      <c r="S84" s="626"/>
      <c r="T84" s="618">
        <f t="shared" si="21"/>
        <v>0</v>
      </c>
    </row>
    <row r="85" spans="1:20">
      <c r="A85" s="617">
        <f t="shared" si="22"/>
        <v>44279</v>
      </c>
      <c r="B85" s="629">
        <f t="shared" si="18"/>
        <v>3</v>
      </c>
      <c r="C85" s="465">
        <f t="shared" si="19"/>
        <v>3</v>
      </c>
      <c r="D85" s="465" t="str">
        <f t="shared" si="20"/>
        <v>Laboral</v>
      </c>
      <c r="E85" s="626"/>
      <c r="F85" s="626"/>
      <c r="G85" s="626"/>
      <c r="H85" s="626"/>
      <c r="I85" s="626"/>
      <c r="J85" s="626"/>
      <c r="K85" s="626"/>
      <c r="L85" s="626"/>
      <c r="M85" s="626"/>
      <c r="N85" s="626"/>
      <c r="O85" s="626"/>
      <c r="P85" s="626"/>
      <c r="Q85" s="626"/>
      <c r="R85" s="626"/>
      <c r="S85" s="626"/>
      <c r="T85" s="618">
        <f t="shared" si="21"/>
        <v>0</v>
      </c>
    </row>
    <row r="86" spans="1:20">
      <c r="A86" s="617">
        <f t="shared" si="22"/>
        <v>44280</v>
      </c>
      <c r="B86" s="629">
        <f t="shared" si="18"/>
        <v>3</v>
      </c>
      <c r="C86" s="465">
        <f t="shared" si="19"/>
        <v>4</v>
      </c>
      <c r="D86" s="465" t="str">
        <f t="shared" si="20"/>
        <v>Laboral</v>
      </c>
      <c r="E86" s="626"/>
      <c r="F86" s="626"/>
      <c r="G86" s="626"/>
      <c r="H86" s="626"/>
      <c r="I86" s="626"/>
      <c r="J86" s="626"/>
      <c r="K86" s="626"/>
      <c r="L86" s="626"/>
      <c r="M86" s="626"/>
      <c r="N86" s="626"/>
      <c r="O86" s="626"/>
      <c r="P86" s="626"/>
      <c r="Q86" s="626"/>
      <c r="R86" s="626"/>
      <c r="S86" s="626"/>
      <c r="T86" s="618">
        <f t="shared" si="21"/>
        <v>0</v>
      </c>
    </row>
    <row r="87" spans="1:20">
      <c r="A87" s="617">
        <f t="shared" si="22"/>
        <v>44281</v>
      </c>
      <c r="B87" s="629">
        <f t="shared" si="18"/>
        <v>3</v>
      </c>
      <c r="C87" s="465">
        <f t="shared" si="19"/>
        <v>5</v>
      </c>
      <c r="D87" s="465" t="str">
        <f t="shared" si="20"/>
        <v>Laboral</v>
      </c>
      <c r="E87" s="626"/>
      <c r="F87" s="626"/>
      <c r="G87" s="626"/>
      <c r="H87" s="626"/>
      <c r="I87" s="626"/>
      <c r="J87" s="626"/>
      <c r="K87" s="626"/>
      <c r="L87" s="626"/>
      <c r="M87" s="626"/>
      <c r="N87" s="626"/>
      <c r="O87" s="626"/>
      <c r="P87" s="626"/>
      <c r="Q87" s="626"/>
      <c r="R87" s="626"/>
      <c r="S87" s="626"/>
      <c r="T87" s="618">
        <f t="shared" si="21"/>
        <v>0</v>
      </c>
    </row>
    <row r="88" spans="1:20">
      <c r="A88" s="617">
        <f t="shared" si="22"/>
        <v>44282</v>
      </c>
      <c r="B88" s="629">
        <f>MONTH(A88)</f>
        <v>3</v>
      </c>
      <c r="C88" s="465">
        <f t="shared" si="19"/>
        <v>6</v>
      </c>
      <c r="D88" s="465" t="str">
        <f t="shared" si="20"/>
        <v>Festivo</v>
      </c>
      <c r="E88" s="626"/>
      <c r="F88" s="626"/>
      <c r="G88" s="626"/>
      <c r="H88" s="626"/>
      <c r="I88" s="626"/>
      <c r="J88" s="626"/>
      <c r="K88" s="626"/>
      <c r="L88" s="626"/>
      <c r="M88" s="626"/>
      <c r="N88" s="626"/>
      <c r="O88" s="626"/>
      <c r="P88" s="626"/>
      <c r="Q88" s="626"/>
      <c r="R88" s="626"/>
      <c r="S88" s="626"/>
      <c r="T88" s="618">
        <f t="shared" si="21"/>
        <v>0</v>
      </c>
    </row>
    <row r="89" spans="1:20">
      <c r="A89" s="617">
        <f t="shared" si="22"/>
        <v>44283</v>
      </c>
      <c r="B89" s="629">
        <f t="shared" si="18"/>
        <v>3</v>
      </c>
      <c r="C89" s="465">
        <f t="shared" si="19"/>
        <v>7</v>
      </c>
      <c r="D89" s="465" t="str">
        <f t="shared" si="20"/>
        <v>Festivo</v>
      </c>
      <c r="E89" s="626"/>
      <c r="F89" s="626"/>
      <c r="G89" s="626"/>
      <c r="H89" s="626"/>
      <c r="I89" s="626"/>
      <c r="J89" s="626"/>
      <c r="K89" s="626"/>
      <c r="L89" s="626"/>
      <c r="M89" s="626"/>
      <c r="N89" s="626"/>
      <c r="O89" s="626"/>
      <c r="P89" s="626"/>
      <c r="Q89" s="626"/>
      <c r="R89" s="626"/>
      <c r="S89" s="626"/>
      <c r="T89" s="618">
        <f t="shared" si="21"/>
        <v>0</v>
      </c>
    </row>
    <row r="90" spans="1:20">
      <c r="A90" s="617">
        <f t="shared" si="22"/>
        <v>44284</v>
      </c>
      <c r="B90" s="629">
        <f t="shared" si="18"/>
        <v>3</v>
      </c>
      <c r="C90" s="465">
        <f t="shared" si="19"/>
        <v>1</v>
      </c>
      <c r="D90" s="465" t="str">
        <f t="shared" si="20"/>
        <v>Laboral</v>
      </c>
      <c r="E90" s="626"/>
      <c r="F90" s="626"/>
      <c r="G90" s="626"/>
      <c r="H90" s="626"/>
      <c r="I90" s="626"/>
      <c r="J90" s="626"/>
      <c r="K90" s="626"/>
      <c r="L90" s="626"/>
      <c r="M90" s="626"/>
      <c r="N90" s="626"/>
      <c r="O90" s="626"/>
      <c r="P90" s="626"/>
      <c r="Q90" s="626"/>
      <c r="R90" s="626"/>
      <c r="S90" s="626"/>
      <c r="T90" s="618">
        <f t="shared" si="21"/>
        <v>0</v>
      </c>
    </row>
    <row r="91" spans="1:20">
      <c r="A91" s="617">
        <f t="shared" si="22"/>
        <v>44285</v>
      </c>
      <c r="B91" s="629">
        <f t="shared" si="18"/>
        <v>3</v>
      </c>
      <c r="C91" s="465">
        <f t="shared" si="19"/>
        <v>2</v>
      </c>
      <c r="D91" s="465" t="str">
        <f t="shared" si="20"/>
        <v>Laboral</v>
      </c>
      <c r="E91" s="626"/>
      <c r="F91" s="626"/>
      <c r="G91" s="626"/>
      <c r="H91" s="626"/>
      <c r="I91" s="626"/>
      <c r="J91" s="626"/>
      <c r="K91" s="626"/>
      <c r="L91" s="626"/>
      <c r="M91" s="626"/>
      <c r="N91" s="626"/>
      <c r="O91" s="626"/>
      <c r="P91" s="626"/>
      <c r="Q91" s="626"/>
      <c r="R91" s="626"/>
      <c r="S91" s="626"/>
      <c r="T91" s="618">
        <f t="shared" si="21"/>
        <v>0</v>
      </c>
    </row>
    <row r="92" spans="1:20">
      <c r="A92" s="617">
        <f t="shared" si="22"/>
        <v>44286</v>
      </c>
      <c r="B92" s="629">
        <f t="shared" si="18"/>
        <v>3</v>
      </c>
      <c r="C92" s="465">
        <f t="shared" si="19"/>
        <v>3</v>
      </c>
      <c r="D92" s="465" t="str">
        <f t="shared" si="20"/>
        <v>Laboral</v>
      </c>
      <c r="E92" s="626"/>
      <c r="F92" s="626"/>
      <c r="G92" s="626"/>
      <c r="H92" s="626"/>
      <c r="I92" s="626"/>
      <c r="J92" s="626"/>
      <c r="K92" s="626"/>
      <c r="L92" s="626"/>
      <c r="M92" s="626"/>
      <c r="N92" s="626"/>
      <c r="O92" s="626"/>
      <c r="P92" s="626"/>
      <c r="Q92" s="626"/>
      <c r="R92" s="626"/>
      <c r="S92" s="626"/>
      <c r="T92" s="618">
        <f t="shared" si="21"/>
        <v>0</v>
      </c>
    </row>
    <row r="93" spans="1:20">
      <c r="A93" s="617">
        <f t="shared" si="22"/>
        <v>44287</v>
      </c>
      <c r="B93" s="629">
        <f t="shared" si="18"/>
        <v>4</v>
      </c>
      <c r="C93" s="465">
        <f t="shared" si="19"/>
        <v>4</v>
      </c>
      <c r="D93" s="465" t="str">
        <f t="shared" si="20"/>
        <v>Laboral</v>
      </c>
      <c r="E93" s="626"/>
      <c r="F93" s="626"/>
      <c r="G93" s="626"/>
      <c r="H93" s="626"/>
      <c r="I93" s="626"/>
      <c r="J93" s="626"/>
      <c r="K93" s="626"/>
      <c r="L93" s="626"/>
      <c r="M93" s="626"/>
      <c r="N93" s="626"/>
      <c r="O93" s="626"/>
      <c r="P93" s="626"/>
      <c r="Q93" s="626"/>
      <c r="R93" s="626"/>
      <c r="S93" s="626"/>
      <c r="T93" s="618">
        <f t="shared" si="21"/>
        <v>0</v>
      </c>
    </row>
    <row r="94" spans="1:20">
      <c r="A94" s="617">
        <f t="shared" si="22"/>
        <v>44288</v>
      </c>
      <c r="B94" s="629">
        <f t="shared" si="18"/>
        <v>4</v>
      </c>
      <c r="C94" s="465">
        <f t="shared" si="19"/>
        <v>5</v>
      </c>
      <c r="D94" s="465" t="str">
        <f t="shared" si="20"/>
        <v>Festivo</v>
      </c>
      <c r="E94" s="626"/>
      <c r="F94" s="626"/>
      <c r="G94" s="626"/>
      <c r="H94" s="626"/>
      <c r="I94" s="626"/>
      <c r="J94" s="626"/>
      <c r="K94" s="626"/>
      <c r="L94" s="626"/>
      <c r="M94" s="626"/>
      <c r="N94" s="626"/>
      <c r="O94" s="626"/>
      <c r="P94" s="626"/>
      <c r="Q94" s="626"/>
      <c r="R94" s="626"/>
      <c r="S94" s="626"/>
      <c r="T94" s="618">
        <f t="shared" si="21"/>
        <v>0</v>
      </c>
    </row>
    <row r="95" spans="1:20">
      <c r="A95" s="617">
        <f t="shared" si="22"/>
        <v>44289</v>
      </c>
      <c r="B95" s="629">
        <f t="shared" si="18"/>
        <v>4</v>
      </c>
      <c r="C95" s="465">
        <f t="shared" si="19"/>
        <v>6</v>
      </c>
      <c r="D95" s="465" t="str">
        <f t="shared" si="20"/>
        <v>Festivo</v>
      </c>
      <c r="E95" s="626"/>
      <c r="F95" s="626"/>
      <c r="G95" s="626"/>
      <c r="H95" s="626"/>
      <c r="I95" s="626"/>
      <c r="J95" s="626"/>
      <c r="K95" s="626"/>
      <c r="L95" s="626"/>
      <c r="M95" s="626"/>
      <c r="N95" s="626"/>
      <c r="O95" s="626"/>
      <c r="P95" s="626"/>
      <c r="Q95" s="626"/>
      <c r="R95" s="626"/>
      <c r="S95" s="626"/>
      <c r="T95" s="618">
        <f t="shared" si="21"/>
        <v>0</v>
      </c>
    </row>
    <row r="96" spans="1:20">
      <c r="A96" s="617">
        <f t="shared" si="22"/>
        <v>44290</v>
      </c>
      <c r="B96" s="629">
        <f t="shared" si="18"/>
        <v>4</v>
      </c>
      <c r="C96" s="465">
        <f t="shared" si="19"/>
        <v>7</v>
      </c>
      <c r="D96" s="465" t="str">
        <f t="shared" si="20"/>
        <v>Festivo</v>
      </c>
      <c r="E96" s="626"/>
      <c r="F96" s="626"/>
      <c r="G96" s="626"/>
      <c r="H96" s="626"/>
      <c r="I96" s="626"/>
      <c r="J96" s="626"/>
      <c r="K96" s="626"/>
      <c r="L96" s="626"/>
      <c r="M96" s="626"/>
      <c r="N96" s="626"/>
      <c r="O96" s="626"/>
      <c r="P96" s="626"/>
      <c r="Q96" s="626"/>
      <c r="R96" s="626"/>
      <c r="S96" s="626"/>
      <c r="T96" s="618">
        <f t="shared" si="21"/>
        <v>0</v>
      </c>
    </row>
    <row r="97" spans="1:20">
      <c r="A97" s="617">
        <f t="shared" si="22"/>
        <v>44291</v>
      </c>
      <c r="B97" s="629">
        <f t="shared" si="18"/>
        <v>4</v>
      </c>
      <c r="C97" s="465">
        <f t="shared" si="19"/>
        <v>1</v>
      </c>
      <c r="D97" s="465" t="str">
        <f t="shared" si="20"/>
        <v>Festivo</v>
      </c>
      <c r="E97" s="626"/>
      <c r="F97" s="626"/>
      <c r="G97" s="626"/>
      <c r="H97" s="626"/>
      <c r="I97" s="626"/>
      <c r="J97" s="626"/>
      <c r="K97" s="626"/>
      <c r="L97" s="626"/>
      <c r="M97" s="626"/>
      <c r="N97" s="626"/>
      <c r="O97" s="626"/>
      <c r="P97" s="626"/>
      <c r="Q97" s="626"/>
      <c r="R97" s="626"/>
      <c r="S97" s="626"/>
      <c r="T97" s="618">
        <f t="shared" si="21"/>
        <v>0</v>
      </c>
    </row>
    <row r="98" spans="1:20">
      <c r="A98" s="617">
        <f t="shared" si="22"/>
        <v>44292</v>
      </c>
      <c r="B98" s="629">
        <f t="shared" si="18"/>
        <v>4</v>
      </c>
      <c r="C98" s="465">
        <f t="shared" si="19"/>
        <v>2</v>
      </c>
      <c r="D98" s="465" t="str">
        <f t="shared" si="20"/>
        <v>Laboral</v>
      </c>
      <c r="E98" s="626"/>
      <c r="F98" s="626"/>
      <c r="G98" s="626"/>
      <c r="H98" s="626"/>
      <c r="I98" s="626"/>
      <c r="J98" s="626"/>
      <c r="K98" s="626"/>
      <c r="L98" s="626"/>
      <c r="M98" s="626"/>
      <c r="N98" s="626"/>
      <c r="O98" s="626"/>
      <c r="P98" s="626"/>
      <c r="Q98" s="626"/>
      <c r="R98" s="626"/>
      <c r="S98" s="626"/>
      <c r="T98" s="618">
        <f t="shared" si="21"/>
        <v>0</v>
      </c>
    </row>
    <row r="99" spans="1:20">
      <c r="A99" s="617">
        <f t="shared" si="22"/>
        <v>44293</v>
      </c>
      <c r="B99" s="629">
        <f t="shared" si="18"/>
        <v>4</v>
      </c>
      <c r="C99" s="465">
        <f t="shared" si="19"/>
        <v>3</v>
      </c>
      <c r="D99" s="465" t="str">
        <f t="shared" si="20"/>
        <v>Laboral</v>
      </c>
      <c r="E99" s="626"/>
      <c r="F99" s="626"/>
      <c r="G99" s="626"/>
      <c r="H99" s="626"/>
      <c r="I99" s="626"/>
      <c r="J99" s="626"/>
      <c r="K99" s="626"/>
      <c r="L99" s="626"/>
      <c r="M99" s="626"/>
      <c r="N99" s="626"/>
      <c r="O99" s="626"/>
      <c r="P99" s="626"/>
      <c r="Q99" s="626"/>
      <c r="R99" s="626"/>
      <c r="S99" s="626"/>
      <c r="T99" s="618">
        <f t="shared" si="21"/>
        <v>0</v>
      </c>
    </row>
    <row r="100" spans="1:20">
      <c r="A100" s="617">
        <f t="shared" si="22"/>
        <v>44294</v>
      </c>
      <c r="B100" s="629">
        <f t="shared" si="18"/>
        <v>4</v>
      </c>
      <c r="C100" s="465">
        <f t="shared" si="19"/>
        <v>4</v>
      </c>
      <c r="D100" s="465" t="str">
        <f t="shared" si="20"/>
        <v>Laboral</v>
      </c>
      <c r="E100" s="626"/>
      <c r="F100" s="626"/>
      <c r="G100" s="626"/>
      <c r="H100" s="626"/>
      <c r="I100" s="626"/>
      <c r="J100" s="626"/>
      <c r="K100" s="626"/>
      <c r="L100" s="626"/>
      <c r="M100" s="626"/>
      <c r="N100" s="626"/>
      <c r="O100" s="626"/>
      <c r="P100" s="626"/>
      <c r="Q100" s="626"/>
      <c r="R100" s="626"/>
      <c r="S100" s="626"/>
      <c r="T100" s="618">
        <f t="shared" si="21"/>
        <v>0</v>
      </c>
    </row>
    <row r="101" spans="1:20">
      <c r="A101" s="617">
        <f t="shared" si="22"/>
        <v>44295</v>
      </c>
      <c r="B101" s="629">
        <f t="shared" si="18"/>
        <v>4</v>
      </c>
      <c r="C101" s="465">
        <f t="shared" si="19"/>
        <v>5</v>
      </c>
      <c r="D101" s="465" t="str">
        <f t="shared" si="20"/>
        <v>Laboral</v>
      </c>
      <c r="E101" s="626"/>
      <c r="F101" s="626"/>
      <c r="G101" s="626"/>
      <c r="H101" s="626"/>
      <c r="I101" s="626"/>
      <c r="J101" s="626"/>
      <c r="K101" s="626"/>
      <c r="L101" s="626"/>
      <c r="M101" s="626"/>
      <c r="N101" s="626"/>
      <c r="O101" s="626"/>
      <c r="P101" s="626"/>
      <c r="Q101" s="626"/>
      <c r="R101" s="626"/>
      <c r="S101" s="626"/>
      <c r="T101" s="618">
        <f t="shared" si="21"/>
        <v>0</v>
      </c>
    </row>
    <row r="102" spans="1:20">
      <c r="A102" s="617">
        <f t="shared" si="22"/>
        <v>44296</v>
      </c>
      <c r="B102" s="629">
        <f t="shared" si="18"/>
        <v>4</v>
      </c>
      <c r="C102" s="465">
        <f t="shared" si="19"/>
        <v>6</v>
      </c>
      <c r="D102" s="465" t="str">
        <f t="shared" si="20"/>
        <v>Festivo</v>
      </c>
      <c r="E102" s="626"/>
      <c r="F102" s="626"/>
      <c r="G102" s="626"/>
      <c r="H102" s="626"/>
      <c r="I102" s="626"/>
      <c r="J102" s="626"/>
      <c r="K102" s="626"/>
      <c r="L102" s="626"/>
      <c r="M102" s="626"/>
      <c r="N102" s="626"/>
      <c r="O102" s="626"/>
      <c r="P102" s="626"/>
      <c r="Q102" s="626"/>
      <c r="R102" s="626"/>
      <c r="S102" s="626"/>
      <c r="T102" s="618">
        <f t="shared" si="21"/>
        <v>0</v>
      </c>
    </row>
    <row r="103" spans="1:20">
      <c r="A103" s="617">
        <f t="shared" si="22"/>
        <v>44297</v>
      </c>
      <c r="B103" s="629">
        <f t="shared" si="18"/>
        <v>4</v>
      </c>
      <c r="C103" s="465">
        <f t="shared" si="19"/>
        <v>7</v>
      </c>
      <c r="D103" s="465" t="str">
        <f t="shared" si="20"/>
        <v>Festivo</v>
      </c>
      <c r="E103" s="626"/>
      <c r="F103" s="626"/>
      <c r="G103" s="626"/>
      <c r="H103" s="626"/>
      <c r="I103" s="626"/>
      <c r="J103" s="626"/>
      <c r="K103" s="626"/>
      <c r="L103" s="626"/>
      <c r="M103" s="626"/>
      <c r="N103" s="626"/>
      <c r="O103" s="626"/>
      <c r="P103" s="626"/>
      <c r="Q103" s="626"/>
      <c r="R103" s="626"/>
      <c r="S103" s="626"/>
      <c r="T103" s="618">
        <f t="shared" si="21"/>
        <v>0</v>
      </c>
    </row>
    <row r="104" spans="1:20">
      <c r="A104" s="617">
        <f t="shared" si="22"/>
        <v>44298</v>
      </c>
      <c r="B104" s="629">
        <f t="shared" si="18"/>
        <v>4</v>
      </c>
      <c r="C104" s="465">
        <f t="shared" si="19"/>
        <v>1</v>
      </c>
      <c r="D104" s="465" t="str">
        <f t="shared" si="20"/>
        <v>Laboral</v>
      </c>
      <c r="E104" s="626"/>
      <c r="F104" s="626"/>
      <c r="G104" s="626"/>
      <c r="H104" s="626"/>
      <c r="I104" s="626"/>
      <c r="J104" s="626"/>
      <c r="K104" s="626"/>
      <c r="L104" s="626"/>
      <c r="M104" s="626"/>
      <c r="N104" s="626"/>
      <c r="O104" s="626"/>
      <c r="P104" s="626"/>
      <c r="Q104" s="626"/>
      <c r="R104" s="626"/>
      <c r="S104" s="626"/>
      <c r="T104" s="618">
        <f t="shared" si="21"/>
        <v>0</v>
      </c>
    </row>
    <row r="105" spans="1:20">
      <c r="A105" s="617">
        <f t="shared" si="22"/>
        <v>44299</v>
      </c>
      <c r="B105" s="629">
        <f t="shared" si="18"/>
        <v>4</v>
      </c>
      <c r="C105" s="465">
        <f t="shared" si="19"/>
        <v>2</v>
      </c>
      <c r="D105" s="465" t="str">
        <f t="shared" si="20"/>
        <v>Laboral</v>
      </c>
      <c r="E105" s="626"/>
      <c r="F105" s="626"/>
      <c r="G105" s="626"/>
      <c r="H105" s="626"/>
      <c r="I105" s="626"/>
      <c r="J105" s="626"/>
      <c r="K105" s="626"/>
      <c r="L105" s="626"/>
      <c r="M105" s="626"/>
      <c r="N105" s="626"/>
      <c r="O105" s="626"/>
      <c r="P105" s="626"/>
      <c r="Q105" s="626"/>
      <c r="R105" s="626"/>
      <c r="S105" s="626"/>
      <c r="T105" s="618">
        <f t="shared" si="21"/>
        <v>0</v>
      </c>
    </row>
    <row r="106" spans="1:20">
      <c r="A106" s="617">
        <f t="shared" si="22"/>
        <v>44300</v>
      </c>
      <c r="B106" s="629">
        <f t="shared" si="18"/>
        <v>4</v>
      </c>
      <c r="C106" s="465">
        <f t="shared" si="19"/>
        <v>3</v>
      </c>
      <c r="D106" s="465" t="str">
        <f t="shared" si="20"/>
        <v>Laboral</v>
      </c>
      <c r="E106" s="626"/>
      <c r="F106" s="626"/>
      <c r="G106" s="626"/>
      <c r="H106" s="626"/>
      <c r="I106" s="626"/>
      <c r="J106" s="626"/>
      <c r="K106" s="626"/>
      <c r="L106" s="626"/>
      <c r="M106" s="626"/>
      <c r="N106" s="626"/>
      <c r="O106" s="626"/>
      <c r="P106" s="626"/>
      <c r="Q106" s="626"/>
      <c r="R106" s="626"/>
      <c r="S106" s="626"/>
      <c r="T106" s="618">
        <f t="shared" si="21"/>
        <v>0</v>
      </c>
    </row>
    <row r="107" spans="1:20">
      <c r="A107" s="617">
        <f t="shared" si="22"/>
        <v>44301</v>
      </c>
      <c r="B107" s="629">
        <f t="shared" si="18"/>
        <v>4</v>
      </c>
      <c r="C107" s="465">
        <f t="shared" si="19"/>
        <v>4</v>
      </c>
      <c r="D107" s="465" t="str">
        <f t="shared" si="20"/>
        <v>Laboral</v>
      </c>
      <c r="E107" s="626"/>
      <c r="F107" s="626"/>
      <c r="G107" s="626"/>
      <c r="H107" s="626"/>
      <c r="I107" s="626"/>
      <c r="J107" s="626"/>
      <c r="K107" s="626"/>
      <c r="L107" s="626"/>
      <c r="M107" s="626"/>
      <c r="N107" s="626"/>
      <c r="O107" s="626"/>
      <c r="P107" s="626"/>
      <c r="Q107" s="626"/>
      <c r="R107" s="626"/>
      <c r="S107" s="626"/>
      <c r="T107" s="618">
        <f t="shared" si="21"/>
        <v>0</v>
      </c>
    </row>
    <row r="108" spans="1:20">
      <c r="A108" s="617">
        <f t="shared" si="22"/>
        <v>44302</v>
      </c>
      <c r="B108" s="629">
        <f t="shared" si="18"/>
        <v>4</v>
      </c>
      <c r="C108" s="465">
        <f t="shared" si="19"/>
        <v>5</v>
      </c>
      <c r="D108" s="465" t="str">
        <f t="shared" si="20"/>
        <v>Laboral</v>
      </c>
      <c r="E108" s="626"/>
      <c r="F108" s="626"/>
      <c r="G108" s="626"/>
      <c r="H108" s="626"/>
      <c r="I108" s="626"/>
      <c r="J108" s="626"/>
      <c r="K108" s="626"/>
      <c r="L108" s="626"/>
      <c r="M108" s="626"/>
      <c r="N108" s="626"/>
      <c r="O108" s="626"/>
      <c r="P108" s="626"/>
      <c r="Q108" s="626"/>
      <c r="R108" s="626"/>
      <c r="S108" s="626"/>
      <c r="T108" s="618">
        <f t="shared" si="21"/>
        <v>0</v>
      </c>
    </row>
    <row r="109" spans="1:20">
      <c r="A109" s="617">
        <f t="shared" si="22"/>
        <v>44303</v>
      </c>
      <c r="B109" s="629">
        <f t="shared" si="18"/>
        <v>4</v>
      </c>
      <c r="C109" s="465">
        <f t="shared" si="19"/>
        <v>6</v>
      </c>
      <c r="D109" s="465" t="str">
        <f t="shared" si="20"/>
        <v>Festivo</v>
      </c>
      <c r="E109" s="626"/>
      <c r="F109" s="626"/>
      <c r="G109" s="626"/>
      <c r="H109" s="626"/>
      <c r="I109" s="626"/>
      <c r="J109" s="626"/>
      <c r="K109" s="626"/>
      <c r="L109" s="626"/>
      <c r="M109" s="626"/>
      <c r="N109" s="626"/>
      <c r="O109" s="626"/>
      <c r="P109" s="626"/>
      <c r="Q109" s="626"/>
      <c r="R109" s="626"/>
      <c r="S109" s="626"/>
      <c r="T109" s="618">
        <f t="shared" si="21"/>
        <v>0</v>
      </c>
    </row>
    <row r="110" spans="1:20">
      <c r="A110" s="617">
        <f t="shared" si="22"/>
        <v>44304</v>
      </c>
      <c r="B110" s="629">
        <f t="shared" si="18"/>
        <v>4</v>
      </c>
      <c r="C110" s="465">
        <f t="shared" si="19"/>
        <v>7</v>
      </c>
      <c r="D110" s="465" t="str">
        <f t="shared" si="20"/>
        <v>Festivo</v>
      </c>
      <c r="E110" s="626"/>
      <c r="F110" s="626"/>
      <c r="G110" s="626"/>
      <c r="H110" s="626"/>
      <c r="I110" s="626"/>
      <c r="J110" s="626"/>
      <c r="K110" s="626"/>
      <c r="L110" s="626"/>
      <c r="M110" s="626"/>
      <c r="N110" s="626"/>
      <c r="O110" s="626"/>
      <c r="P110" s="626"/>
      <c r="Q110" s="626"/>
      <c r="R110" s="626"/>
      <c r="S110" s="626"/>
      <c r="T110" s="618">
        <f t="shared" si="21"/>
        <v>0</v>
      </c>
    </row>
    <row r="111" spans="1:20">
      <c r="A111" s="617">
        <f t="shared" si="22"/>
        <v>44305</v>
      </c>
      <c r="B111" s="629">
        <f t="shared" si="18"/>
        <v>4</v>
      </c>
      <c r="C111" s="465">
        <f t="shared" si="19"/>
        <v>1</v>
      </c>
      <c r="D111" s="465" t="str">
        <f t="shared" si="20"/>
        <v>Laboral</v>
      </c>
      <c r="E111" s="626"/>
      <c r="F111" s="626"/>
      <c r="G111" s="626"/>
      <c r="H111" s="626"/>
      <c r="I111" s="626"/>
      <c r="J111" s="626"/>
      <c r="K111" s="626"/>
      <c r="L111" s="626"/>
      <c r="M111" s="626"/>
      <c r="N111" s="626"/>
      <c r="O111" s="626"/>
      <c r="P111" s="626"/>
      <c r="Q111" s="626"/>
      <c r="R111" s="626"/>
      <c r="S111" s="626"/>
      <c r="T111" s="618">
        <f t="shared" si="21"/>
        <v>0</v>
      </c>
    </row>
    <row r="112" spans="1:20">
      <c r="A112" s="617">
        <f t="shared" si="22"/>
        <v>44306</v>
      </c>
      <c r="B112" s="629">
        <f t="shared" si="18"/>
        <v>4</v>
      </c>
      <c r="C112" s="465">
        <f t="shared" si="19"/>
        <v>2</v>
      </c>
      <c r="D112" s="465" t="str">
        <f t="shared" si="20"/>
        <v>Laboral</v>
      </c>
      <c r="E112" s="626"/>
      <c r="F112" s="626"/>
      <c r="G112" s="626"/>
      <c r="H112" s="626"/>
      <c r="I112" s="626"/>
      <c r="J112" s="626"/>
      <c r="K112" s="626"/>
      <c r="L112" s="626"/>
      <c r="M112" s="626"/>
      <c r="N112" s="626"/>
      <c r="O112" s="626"/>
      <c r="P112" s="626"/>
      <c r="Q112" s="626"/>
      <c r="R112" s="626"/>
      <c r="S112" s="626"/>
      <c r="T112" s="618">
        <f t="shared" si="21"/>
        <v>0</v>
      </c>
    </row>
    <row r="113" spans="1:20">
      <c r="A113" s="617">
        <f t="shared" si="22"/>
        <v>44307</v>
      </c>
      <c r="B113" s="629">
        <f t="shared" si="18"/>
        <v>4</v>
      </c>
      <c r="C113" s="465">
        <f t="shared" si="19"/>
        <v>3</v>
      </c>
      <c r="D113" s="465" t="str">
        <f t="shared" si="20"/>
        <v>Laboral</v>
      </c>
      <c r="E113" s="626"/>
      <c r="F113" s="626"/>
      <c r="G113" s="626"/>
      <c r="H113" s="626"/>
      <c r="I113" s="626"/>
      <c r="J113" s="626"/>
      <c r="K113" s="626"/>
      <c r="L113" s="626"/>
      <c r="M113" s="626"/>
      <c r="N113" s="626"/>
      <c r="O113" s="626"/>
      <c r="P113" s="626"/>
      <c r="Q113" s="626"/>
      <c r="R113" s="626"/>
      <c r="S113" s="626"/>
      <c r="T113" s="618">
        <f t="shared" si="21"/>
        <v>0</v>
      </c>
    </row>
    <row r="114" spans="1:20">
      <c r="A114" s="617">
        <f t="shared" si="22"/>
        <v>44308</v>
      </c>
      <c r="B114" s="629">
        <f t="shared" si="18"/>
        <v>4</v>
      </c>
      <c r="C114" s="465">
        <f t="shared" si="19"/>
        <v>4</v>
      </c>
      <c r="D114" s="465" t="str">
        <f t="shared" si="20"/>
        <v>Laboral</v>
      </c>
      <c r="E114" s="626"/>
      <c r="F114" s="626"/>
      <c r="G114" s="626"/>
      <c r="H114" s="626"/>
      <c r="I114" s="626"/>
      <c r="J114" s="626"/>
      <c r="K114" s="626"/>
      <c r="L114" s="626"/>
      <c r="M114" s="626"/>
      <c r="N114" s="626"/>
      <c r="O114" s="626"/>
      <c r="P114" s="626"/>
      <c r="Q114" s="626"/>
      <c r="R114" s="626"/>
      <c r="S114" s="626"/>
      <c r="T114" s="618">
        <f t="shared" si="21"/>
        <v>0</v>
      </c>
    </row>
    <row r="115" spans="1:20">
      <c r="A115" s="617">
        <f t="shared" si="22"/>
        <v>44309</v>
      </c>
      <c r="B115" s="629">
        <f t="shared" si="18"/>
        <v>4</v>
      </c>
      <c r="C115" s="465">
        <f t="shared" si="19"/>
        <v>5</v>
      </c>
      <c r="D115" s="465" t="str">
        <f t="shared" si="20"/>
        <v>Laboral</v>
      </c>
      <c r="E115" s="626"/>
      <c r="F115" s="626"/>
      <c r="G115" s="626"/>
      <c r="H115" s="626"/>
      <c r="I115" s="626"/>
      <c r="J115" s="626"/>
      <c r="K115" s="626"/>
      <c r="L115" s="626"/>
      <c r="M115" s="626"/>
      <c r="N115" s="626"/>
      <c r="O115" s="626"/>
      <c r="P115" s="626"/>
      <c r="Q115" s="626"/>
      <c r="R115" s="626"/>
      <c r="S115" s="626"/>
      <c r="T115" s="618">
        <f t="shared" si="21"/>
        <v>0</v>
      </c>
    </row>
    <row r="116" spans="1:20">
      <c r="A116" s="617">
        <f t="shared" si="22"/>
        <v>44310</v>
      </c>
      <c r="B116" s="629">
        <f t="shared" si="18"/>
        <v>4</v>
      </c>
      <c r="C116" s="465">
        <f t="shared" si="19"/>
        <v>6</v>
      </c>
      <c r="D116" s="465" t="str">
        <f t="shared" si="20"/>
        <v>Festivo</v>
      </c>
      <c r="E116" s="626"/>
      <c r="F116" s="626"/>
      <c r="G116" s="626"/>
      <c r="H116" s="626"/>
      <c r="I116" s="626"/>
      <c r="J116" s="626"/>
      <c r="K116" s="626"/>
      <c r="L116" s="626"/>
      <c r="M116" s="626"/>
      <c r="N116" s="626"/>
      <c r="O116" s="626"/>
      <c r="P116" s="626"/>
      <c r="Q116" s="626"/>
      <c r="R116" s="626"/>
      <c r="S116" s="626"/>
      <c r="T116" s="618">
        <f t="shared" si="21"/>
        <v>0</v>
      </c>
    </row>
    <row r="117" spans="1:20">
      <c r="A117" s="617">
        <f t="shared" si="22"/>
        <v>44311</v>
      </c>
      <c r="B117" s="629">
        <f t="shared" si="18"/>
        <v>4</v>
      </c>
      <c r="C117" s="465">
        <f t="shared" si="19"/>
        <v>7</v>
      </c>
      <c r="D117" s="465" t="str">
        <f t="shared" si="20"/>
        <v>Festivo</v>
      </c>
      <c r="E117" s="626"/>
      <c r="F117" s="626"/>
      <c r="G117" s="626"/>
      <c r="H117" s="626"/>
      <c r="I117" s="626"/>
      <c r="J117" s="626"/>
      <c r="K117" s="626"/>
      <c r="L117" s="626"/>
      <c r="M117" s="626"/>
      <c r="N117" s="626"/>
      <c r="O117" s="626"/>
      <c r="P117" s="626"/>
      <c r="Q117" s="626"/>
      <c r="R117" s="626"/>
      <c r="S117" s="626"/>
      <c r="T117" s="618">
        <f t="shared" si="21"/>
        <v>0</v>
      </c>
    </row>
    <row r="118" spans="1:20">
      <c r="A118" s="617">
        <f t="shared" si="22"/>
        <v>44312</v>
      </c>
      <c r="B118" s="629">
        <f t="shared" si="18"/>
        <v>4</v>
      </c>
      <c r="C118" s="465">
        <f t="shared" si="19"/>
        <v>1</v>
      </c>
      <c r="D118" s="465" t="str">
        <f t="shared" si="20"/>
        <v>Laboral</v>
      </c>
      <c r="E118" s="626"/>
      <c r="F118" s="626"/>
      <c r="G118" s="626"/>
      <c r="H118" s="626"/>
      <c r="I118" s="626"/>
      <c r="J118" s="626"/>
      <c r="K118" s="626"/>
      <c r="L118" s="626"/>
      <c r="M118" s="626"/>
      <c r="N118" s="626"/>
      <c r="O118" s="626"/>
      <c r="P118" s="626"/>
      <c r="Q118" s="626"/>
      <c r="R118" s="626"/>
      <c r="S118" s="626"/>
      <c r="T118" s="618">
        <f t="shared" si="21"/>
        <v>0</v>
      </c>
    </row>
    <row r="119" spans="1:20">
      <c r="A119" s="617">
        <f t="shared" si="22"/>
        <v>44313</v>
      </c>
      <c r="B119" s="629">
        <f t="shared" si="18"/>
        <v>4</v>
      </c>
      <c r="C119" s="465">
        <f t="shared" si="19"/>
        <v>2</v>
      </c>
      <c r="D119" s="465" t="str">
        <f t="shared" si="20"/>
        <v>Laboral</v>
      </c>
      <c r="E119" s="626"/>
      <c r="F119" s="626"/>
      <c r="G119" s="626"/>
      <c r="H119" s="626"/>
      <c r="I119" s="626"/>
      <c r="J119" s="626"/>
      <c r="K119" s="626"/>
      <c r="L119" s="626"/>
      <c r="M119" s="626"/>
      <c r="N119" s="626"/>
      <c r="O119" s="626"/>
      <c r="P119" s="626"/>
      <c r="Q119" s="626"/>
      <c r="R119" s="626"/>
      <c r="S119" s="626"/>
      <c r="T119" s="618">
        <f t="shared" si="21"/>
        <v>0</v>
      </c>
    </row>
    <row r="120" spans="1:20">
      <c r="A120" s="617">
        <f t="shared" si="22"/>
        <v>44314</v>
      </c>
      <c r="B120" s="629">
        <f t="shared" si="18"/>
        <v>4</v>
      </c>
      <c r="C120" s="465">
        <f t="shared" si="19"/>
        <v>3</v>
      </c>
      <c r="D120" s="465" t="str">
        <f t="shared" si="20"/>
        <v>Laboral</v>
      </c>
      <c r="E120" s="626"/>
      <c r="F120" s="626"/>
      <c r="G120" s="626"/>
      <c r="H120" s="626"/>
      <c r="I120" s="626"/>
      <c r="J120" s="626"/>
      <c r="K120" s="626"/>
      <c r="L120" s="626"/>
      <c r="M120" s="626"/>
      <c r="N120" s="626"/>
      <c r="O120" s="626"/>
      <c r="P120" s="626"/>
      <c r="Q120" s="626"/>
      <c r="R120" s="626"/>
      <c r="S120" s="626"/>
      <c r="T120" s="618">
        <f t="shared" si="21"/>
        <v>0</v>
      </c>
    </row>
    <row r="121" spans="1:20">
      <c r="A121" s="617">
        <f t="shared" si="22"/>
        <v>44315</v>
      </c>
      <c r="B121" s="629">
        <f t="shared" si="18"/>
        <v>4</v>
      </c>
      <c r="C121" s="465">
        <f t="shared" si="19"/>
        <v>4</v>
      </c>
      <c r="D121" s="465" t="str">
        <f t="shared" si="20"/>
        <v>Laboral</v>
      </c>
      <c r="E121" s="626"/>
      <c r="F121" s="626"/>
      <c r="G121" s="626"/>
      <c r="H121" s="626"/>
      <c r="I121" s="626"/>
      <c r="J121" s="626"/>
      <c r="K121" s="626"/>
      <c r="L121" s="626"/>
      <c r="M121" s="626"/>
      <c r="N121" s="626"/>
      <c r="O121" s="626"/>
      <c r="P121" s="626"/>
      <c r="Q121" s="626"/>
      <c r="R121" s="626"/>
      <c r="S121" s="626"/>
      <c r="T121" s="618">
        <f t="shared" si="21"/>
        <v>0</v>
      </c>
    </row>
    <row r="122" spans="1:20">
      <c r="A122" s="617">
        <f t="shared" si="22"/>
        <v>44316</v>
      </c>
      <c r="B122" s="629">
        <f t="shared" si="18"/>
        <v>4</v>
      </c>
      <c r="C122" s="465">
        <f t="shared" si="19"/>
        <v>5</v>
      </c>
      <c r="D122" s="465" t="str">
        <f t="shared" si="20"/>
        <v>Laboral</v>
      </c>
      <c r="E122" s="626"/>
      <c r="F122" s="626"/>
      <c r="G122" s="626"/>
      <c r="H122" s="626"/>
      <c r="I122" s="626"/>
      <c r="J122" s="626"/>
      <c r="K122" s="626"/>
      <c r="L122" s="626"/>
      <c r="M122" s="626"/>
      <c r="N122" s="626"/>
      <c r="O122" s="626"/>
      <c r="P122" s="626"/>
      <c r="Q122" s="626"/>
      <c r="R122" s="626"/>
      <c r="S122" s="626"/>
      <c r="T122" s="618">
        <f t="shared" si="21"/>
        <v>0</v>
      </c>
    </row>
    <row r="123" spans="1:20">
      <c r="A123" s="617">
        <f t="shared" si="22"/>
        <v>44317</v>
      </c>
      <c r="B123" s="629">
        <f t="shared" si="18"/>
        <v>5</v>
      </c>
      <c r="C123" s="465">
        <f t="shared" si="19"/>
        <v>6</v>
      </c>
      <c r="D123" s="465" t="str">
        <f t="shared" si="20"/>
        <v>Festivo</v>
      </c>
      <c r="E123" s="626"/>
      <c r="F123" s="626"/>
      <c r="G123" s="626"/>
      <c r="H123" s="626"/>
      <c r="I123" s="626"/>
      <c r="J123" s="626"/>
      <c r="K123" s="626"/>
      <c r="L123" s="626"/>
      <c r="M123" s="626"/>
      <c r="N123" s="626"/>
      <c r="O123" s="626"/>
      <c r="P123" s="626"/>
      <c r="Q123" s="626"/>
      <c r="R123" s="626"/>
      <c r="S123" s="626"/>
      <c r="T123" s="618">
        <f t="shared" si="21"/>
        <v>0</v>
      </c>
    </row>
    <row r="124" spans="1:20">
      <c r="A124" s="617">
        <f t="shared" si="22"/>
        <v>44318</v>
      </c>
      <c r="B124" s="629">
        <f t="shared" si="18"/>
        <v>5</v>
      </c>
      <c r="C124" s="465">
        <f t="shared" si="19"/>
        <v>7</v>
      </c>
      <c r="D124" s="465" t="str">
        <f t="shared" si="20"/>
        <v>Festivo</v>
      </c>
      <c r="E124" s="626"/>
      <c r="F124" s="626"/>
      <c r="G124" s="626"/>
      <c r="H124" s="626"/>
      <c r="I124" s="626"/>
      <c r="J124" s="626"/>
      <c r="K124" s="626"/>
      <c r="L124" s="626"/>
      <c r="M124" s="626"/>
      <c r="N124" s="626"/>
      <c r="O124" s="626"/>
      <c r="P124" s="626"/>
      <c r="Q124" s="626"/>
      <c r="R124" s="626"/>
      <c r="S124" s="626"/>
      <c r="T124" s="618">
        <f t="shared" si="21"/>
        <v>0</v>
      </c>
    </row>
    <row r="125" spans="1:20">
      <c r="A125" s="617">
        <f t="shared" si="22"/>
        <v>44319</v>
      </c>
      <c r="B125" s="629">
        <f t="shared" si="18"/>
        <v>5</v>
      </c>
      <c r="C125" s="465">
        <f t="shared" si="19"/>
        <v>1</v>
      </c>
      <c r="D125" s="465" t="str">
        <f t="shared" si="20"/>
        <v>Laboral</v>
      </c>
      <c r="E125" s="626"/>
      <c r="F125" s="626"/>
      <c r="G125" s="626"/>
      <c r="H125" s="626"/>
      <c r="I125" s="626"/>
      <c r="J125" s="626"/>
      <c r="K125" s="626"/>
      <c r="L125" s="626"/>
      <c r="M125" s="626"/>
      <c r="N125" s="626"/>
      <c r="O125" s="626"/>
      <c r="P125" s="626"/>
      <c r="Q125" s="626"/>
      <c r="R125" s="626"/>
      <c r="S125" s="626"/>
      <c r="T125" s="618">
        <f t="shared" si="21"/>
        <v>0</v>
      </c>
    </row>
    <row r="126" spans="1:20">
      <c r="A126" s="617">
        <f t="shared" si="22"/>
        <v>44320</v>
      </c>
      <c r="B126" s="629">
        <f t="shared" si="18"/>
        <v>5</v>
      </c>
      <c r="C126" s="465">
        <f t="shared" si="19"/>
        <v>2</v>
      </c>
      <c r="D126" s="465" t="str">
        <f t="shared" si="20"/>
        <v>Laboral</v>
      </c>
      <c r="E126" s="626"/>
      <c r="F126" s="626"/>
      <c r="G126" s="626"/>
      <c r="H126" s="626"/>
      <c r="I126" s="626"/>
      <c r="J126" s="626"/>
      <c r="K126" s="626"/>
      <c r="L126" s="626"/>
      <c r="M126" s="626"/>
      <c r="N126" s="626"/>
      <c r="O126" s="626"/>
      <c r="P126" s="626"/>
      <c r="Q126" s="626"/>
      <c r="R126" s="626"/>
      <c r="S126" s="626"/>
      <c r="T126" s="618">
        <f t="shared" si="21"/>
        <v>0</v>
      </c>
    </row>
    <row r="127" spans="1:20">
      <c r="A127" s="617">
        <f t="shared" si="22"/>
        <v>44321</v>
      </c>
      <c r="B127" s="629">
        <f t="shared" si="18"/>
        <v>5</v>
      </c>
      <c r="C127" s="465">
        <f t="shared" si="19"/>
        <v>3</v>
      </c>
      <c r="D127" s="465" t="str">
        <f t="shared" si="20"/>
        <v>Laboral</v>
      </c>
      <c r="E127" s="626"/>
      <c r="F127" s="626"/>
      <c r="G127" s="626"/>
      <c r="H127" s="626"/>
      <c r="I127" s="626"/>
      <c r="J127" s="626"/>
      <c r="K127" s="626"/>
      <c r="L127" s="626"/>
      <c r="M127" s="626"/>
      <c r="N127" s="626"/>
      <c r="O127" s="626"/>
      <c r="P127" s="626"/>
      <c r="Q127" s="626"/>
      <c r="R127" s="626"/>
      <c r="S127" s="626"/>
      <c r="T127" s="618">
        <f t="shared" si="21"/>
        <v>0</v>
      </c>
    </row>
    <row r="128" spans="1:20">
      <c r="A128" s="617">
        <f t="shared" si="22"/>
        <v>44322</v>
      </c>
      <c r="B128" s="629">
        <f t="shared" si="18"/>
        <v>5</v>
      </c>
      <c r="C128" s="465">
        <f t="shared" si="19"/>
        <v>4</v>
      </c>
      <c r="D128" s="465" t="str">
        <f t="shared" si="20"/>
        <v>Laboral</v>
      </c>
      <c r="E128" s="626"/>
      <c r="F128" s="626"/>
      <c r="G128" s="626"/>
      <c r="H128" s="626"/>
      <c r="I128" s="626"/>
      <c r="J128" s="626"/>
      <c r="K128" s="626"/>
      <c r="L128" s="626"/>
      <c r="M128" s="626"/>
      <c r="N128" s="626"/>
      <c r="O128" s="626"/>
      <c r="P128" s="626"/>
      <c r="Q128" s="626"/>
      <c r="R128" s="626"/>
      <c r="S128" s="626"/>
      <c r="T128" s="618">
        <f t="shared" si="21"/>
        <v>0</v>
      </c>
    </row>
    <row r="129" spans="1:20">
      <c r="A129" s="617">
        <f t="shared" si="22"/>
        <v>44323</v>
      </c>
      <c r="B129" s="629">
        <f t="shared" si="18"/>
        <v>5</v>
      </c>
      <c r="C129" s="465">
        <f t="shared" si="19"/>
        <v>5</v>
      </c>
      <c r="D129" s="465" t="str">
        <f t="shared" si="20"/>
        <v>Laboral</v>
      </c>
      <c r="E129" s="626"/>
      <c r="F129" s="626"/>
      <c r="G129" s="626"/>
      <c r="H129" s="626"/>
      <c r="I129" s="626"/>
      <c r="J129" s="626"/>
      <c r="K129" s="626"/>
      <c r="L129" s="626"/>
      <c r="M129" s="626"/>
      <c r="N129" s="626"/>
      <c r="O129" s="626"/>
      <c r="P129" s="626"/>
      <c r="Q129" s="626"/>
      <c r="R129" s="626"/>
      <c r="S129" s="626"/>
      <c r="T129" s="618">
        <f t="shared" si="21"/>
        <v>0</v>
      </c>
    </row>
    <row r="130" spans="1:20">
      <c r="A130" s="617">
        <f t="shared" si="22"/>
        <v>44324</v>
      </c>
      <c r="B130" s="629">
        <f t="shared" si="18"/>
        <v>5</v>
      </c>
      <c r="C130" s="465">
        <f t="shared" si="19"/>
        <v>6</v>
      </c>
      <c r="D130" s="465" t="str">
        <f t="shared" si="20"/>
        <v>Festivo</v>
      </c>
      <c r="E130" s="626"/>
      <c r="F130" s="626"/>
      <c r="G130" s="626"/>
      <c r="H130" s="626"/>
      <c r="I130" s="626"/>
      <c r="J130" s="626"/>
      <c r="K130" s="626"/>
      <c r="L130" s="626"/>
      <c r="M130" s="626"/>
      <c r="N130" s="626"/>
      <c r="O130" s="626"/>
      <c r="P130" s="626"/>
      <c r="Q130" s="626"/>
      <c r="R130" s="626"/>
      <c r="S130" s="626"/>
      <c r="T130" s="618">
        <f t="shared" si="21"/>
        <v>0</v>
      </c>
    </row>
    <row r="131" spans="1:20">
      <c r="A131" s="617">
        <f t="shared" si="22"/>
        <v>44325</v>
      </c>
      <c r="B131" s="629">
        <f t="shared" si="18"/>
        <v>5</v>
      </c>
      <c r="C131" s="465">
        <f t="shared" si="19"/>
        <v>7</v>
      </c>
      <c r="D131" s="465" t="str">
        <f t="shared" si="20"/>
        <v>Festivo</v>
      </c>
      <c r="E131" s="626"/>
      <c r="F131" s="626"/>
      <c r="G131" s="626"/>
      <c r="H131" s="626"/>
      <c r="I131" s="626"/>
      <c r="J131" s="626"/>
      <c r="K131" s="626"/>
      <c r="L131" s="626"/>
      <c r="M131" s="626"/>
      <c r="N131" s="626"/>
      <c r="O131" s="626"/>
      <c r="P131" s="626"/>
      <c r="Q131" s="626"/>
      <c r="R131" s="626"/>
      <c r="S131" s="626"/>
      <c r="T131" s="618">
        <f t="shared" si="21"/>
        <v>0</v>
      </c>
    </row>
    <row r="132" spans="1:20">
      <c r="A132" s="617">
        <f t="shared" si="22"/>
        <v>44326</v>
      </c>
      <c r="B132" s="629">
        <f t="shared" ref="B132:B195" si="23">MONTH(A132)</f>
        <v>5</v>
      </c>
      <c r="C132" s="465">
        <f t="shared" ref="C132:C195" si="24">WEEKDAY(A132,2)</f>
        <v>1</v>
      </c>
      <c r="D132" s="465" t="str">
        <f t="shared" ref="D132:D195" si="25">IF(OR(C132=$X$4,C132=$X$3,A132=$W$6,A132=$W$7,A132=$W$8,A132=$W$9,A132=$W$10,A132=$W$11,A132=$W$12,A132=$W$13,A132=$W$14,A132=$W$15,A132=$W$16,A132=$W$17,A132=$W$18,A132=$W$19,A132=$W$20),"Festivo","Laboral")</f>
        <v>Laboral</v>
      </c>
      <c r="E132" s="626"/>
      <c r="F132" s="626"/>
      <c r="G132" s="626"/>
      <c r="H132" s="626"/>
      <c r="I132" s="626"/>
      <c r="J132" s="626"/>
      <c r="K132" s="626"/>
      <c r="L132" s="626"/>
      <c r="M132" s="626"/>
      <c r="N132" s="626"/>
      <c r="O132" s="626"/>
      <c r="P132" s="626"/>
      <c r="Q132" s="626"/>
      <c r="R132" s="626"/>
      <c r="S132" s="626"/>
      <c r="T132" s="618">
        <f t="shared" ref="T132:T195" si="26">SUMPRODUCT(E132:S132,E$1:S$1)</f>
        <v>0</v>
      </c>
    </row>
    <row r="133" spans="1:20">
      <c r="A133" s="617">
        <f t="shared" ref="A133:A196" si="27">+A132+1</f>
        <v>44327</v>
      </c>
      <c r="B133" s="629">
        <f t="shared" si="23"/>
        <v>5</v>
      </c>
      <c r="C133" s="465">
        <f t="shared" si="24"/>
        <v>2</v>
      </c>
      <c r="D133" s="465" t="str">
        <f t="shared" si="25"/>
        <v>Laboral</v>
      </c>
      <c r="E133" s="626"/>
      <c r="F133" s="626"/>
      <c r="G133" s="626"/>
      <c r="H133" s="626"/>
      <c r="I133" s="626"/>
      <c r="J133" s="626"/>
      <c r="K133" s="626"/>
      <c r="L133" s="626"/>
      <c r="M133" s="626"/>
      <c r="N133" s="626"/>
      <c r="O133" s="626"/>
      <c r="P133" s="626"/>
      <c r="Q133" s="626"/>
      <c r="R133" s="626"/>
      <c r="S133" s="626"/>
      <c r="T133" s="618">
        <f t="shared" si="26"/>
        <v>0</v>
      </c>
    </row>
    <row r="134" spans="1:20">
      <c r="A134" s="617">
        <f t="shared" si="27"/>
        <v>44328</v>
      </c>
      <c r="B134" s="629">
        <f t="shared" si="23"/>
        <v>5</v>
      </c>
      <c r="C134" s="465">
        <f t="shared" si="24"/>
        <v>3</v>
      </c>
      <c r="D134" s="465" t="str">
        <f t="shared" si="25"/>
        <v>Laboral</v>
      </c>
      <c r="E134" s="626"/>
      <c r="F134" s="626"/>
      <c r="G134" s="626"/>
      <c r="H134" s="626"/>
      <c r="I134" s="626"/>
      <c r="J134" s="626"/>
      <c r="K134" s="626"/>
      <c r="L134" s="626"/>
      <c r="M134" s="626"/>
      <c r="N134" s="626"/>
      <c r="O134" s="626"/>
      <c r="P134" s="626"/>
      <c r="Q134" s="626"/>
      <c r="R134" s="626"/>
      <c r="S134" s="626"/>
      <c r="T134" s="618">
        <f t="shared" si="26"/>
        <v>0</v>
      </c>
    </row>
    <row r="135" spans="1:20">
      <c r="A135" s="617">
        <f t="shared" si="27"/>
        <v>44329</v>
      </c>
      <c r="B135" s="629">
        <f t="shared" si="23"/>
        <v>5</v>
      </c>
      <c r="C135" s="465">
        <f t="shared" si="24"/>
        <v>4</v>
      </c>
      <c r="D135" s="465" t="str">
        <f t="shared" si="25"/>
        <v>Laboral</v>
      </c>
      <c r="E135" s="626"/>
      <c r="F135" s="626"/>
      <c r="G135" s="626"/>
      <c r="H135" s="626"/>
      <c r="I135" s="626"/>
      <c r="J135" s="626"/>
      <c r="K135" s="626"/>
      <c r="L135" s="626"/>
      <c r="M135" s="626"/>
      <c r="N135" s="626"/>
      <c r="O135" s="626"/>
      <c r="P135" s="626"/>
      <c r="Q135" s="626"/>
      <c r="R135" s="626"/>
      <c r="S135" s="626"/>
      <c r="T135" s="618">
        <f t="shared" si="26"/>
        <v>0</v>
      </c>
    </row>
    <row r="136" spans="1:20">
      <c r="A136" s="617">
        <f t="shared" si="27"/>
        <v>44330</v>
      </c>
      <c r="B136" s="629">
        <f t="shared" si="23"/>
        <v>5</v>
      </c>
      <c r="C136" s="465">
        <f t="shared" si="24"/>
        <v>5</v>
      </c>
      <c r="D136" s="465" t="str">
        <f t="shared" si="25"/>
        <v>Laboral</v>
      </c>
      <c r="E136" s="626"/>
      <c r="F136" s="626"/>
      <c r="G136" s="626"/>
      <c r="H136" s="626"/>
      <c r="I136" s="626"/>
      <c r="J136" s="626"/>
      <c r="K136" s="626"/>
      <c r="L136" s="626"/>
      <c r="M136" s="626"/>
      <c r="N136" s="626"/>
      <c r="O136" s="626"/>
      <c r="P136" s="626"/>
      <c r="Q136" s="626"/>
      <c r="R136" s="626"/>
      <c r="S136" s="626"/>
      <c r="T136" s="618">
        <f t="shared" si="26"/>
        <v>0</v>
      </c>
    </row>
    <row r="137" spans="1:20">
      <c r="A137" s="617">
        <f t="shared" si="27"/>
        <v>44331</v>
      </c>
      <c r="B137" s="629">
        <f t="shared" si="23"/>
        <v>5</v>
      </c>
      <c r="C137" s="465">
        <f t="shared" si="24"/>
        <v>6</v>
      </c>
      <c r="D137" s="465" t="str">
        <f t="shared" si="25"/>
        <v>Festivo</v>
      </c>
      <c r="E137" s="626"/>
      <c r="F137" s="626"/>
      <c r="G137" s="626"/>
      <c r="H137" s="626"/>
      <c r="I137" s="626"/>
      <c r="J137" s="626"/>
      <c r="K137" s="626"/>
      <c r="L137" s="626"/>
      <c r="M137" s="626"/>
      <c r="N137" s="626"/>
      <c r="O137" s="626"/>
      <c r="P137" s="626"/>
      <c r="Q137" s="626"/>
      <c r="R137" s="626"/>
      <c r="S137" s="626"/>
      <c r="T137" s="618">
        <f t="shared" si="26"/>
        <v>0</v>
      </c>
    </row>
    <row r="138" spans="1:20">
      <c r="A138" s="617">
        <f t="shared" si="27"/>
        <v>44332</v>
      </c>
      <c r="B138" s="629">
        <f t="shared" si="23"/>
        <v>5</v>
      </c>
      <c r="C138" s="465">
        <f t="shared" si="24"/>
        <v>7</v>
      </c>
      <c r="D138" s="465" t="str">
        <f t="shared" si="25"/>
        <v>Festivo</v>
      </c>
      <c r="E138" s="626"/>
      <c r="F138" s="626"/>
      <c r="G138" s="626"/>
      <c r="H138" s="626"/>
      <c r="I138" s="626"/>
      <c r="J138" s="626"/>
      <c r="K138" s="626"/>
      <c r="L138" s="626"/>
      <c r="M138" s="626"/>
      <c r="N138" s="626"/>
      <c r="O138" s="626"/>
      <c r="P138" s="626"/>
      <c r="Q138" s="626"/>
      <c r="R138" s="626"/>
      <c r="S138" s="626"/>
      <c r="T138" s="618">
        <f t="shared" si="26"/>
        <v>0</v>
      </c>
    </row>
    <row r="139" spans="1:20">
      <c r="A139" s="617">
        <f t="shared" si="27"/>
        <v>44333</v>
      </c>
      <c r="B139" s="629">
        <f t="shared" si="23"/>
        <v>5</v>
      </c>
      <c r="C139" s="465">
        <f t="shared" si="24"/>
        <v>1</v>
      </c>
      <c r="D139" s="465" t="str">
        <f t="shared" si="25"/>
        <v>Laboral</v>
      </c>
      <c r="E139" s="626"/>
      <c r="F139" s="626"/>
      <c r="G139" s="626"/>
      <c r="H139" s="626"/>
      <c r="I139" s="626"/>
      <c r="J139" s="626"/>
      <c r="K139" s="626"/>
      <c r="L139" s="626"/>
      <c r="M139" s="626"/>
      <c r="N139" s="626"/>
      <c r="O139" s="626"/>
      <c r="P139" s="626"/>
      <c r="Q139" s="626"/>
      <c r="R139" s="626"/>
      <c r="S139" s="626"/>
      <c r="T139" s="618">
        <f t="shared" si="26"/>
        <v>0</v>
      </c>
    </row>
    <row r="140" spans="1:20">
      <c r="A140" s="617">
        <f t="shared" si="27"/>
        <v>44334</v>
      </c>
      <c r="B140" s="629">
        <f t="shared" si="23"/>
        <v>5</v>
      </c>
      <c r="C140" s="465">
        <f t="shared" si="24"/>
        <v>2</v>
      </c>
      <c r="D140" s="465" t="str">
        <f t="shared" si="25"/>
        <v>Laboral</v>
      </c>
      <c r="E140" s="626"/>
      <c r="F140" s="626"/>
      <c r="G140" s="626"/>
      <c r="H140" s="626"/>
      <c r="I140" s="626"/>
      <c r="J140" s="626"/>
      <c r="K140" s="626"/>
      <c r="L140" s="626"/>
      <c r="M140" s="626"/>
      <c r="N140" s="626"/>
      <c r="O140" s="626"/>
      <c r="P140" s="626"/>
      <c r="Q140" s="626"/>
      <c r="R140" s="626"/>
      <c r="S140" s="626"/>
      <c r="T140" s="618">
        <f t="shared" si="26"/>
        <v>0</v>
      </c>
    </row>
    <row r="141" spans="1:20">
      <c r="A141" s="617">
        <f t="shared" si="27"/>
        <v>44335</v>
      </c>
      <c r="B141" s="629">
        <f t="shared" si="23"/>
        <v>5</v>
      </c>
      <c r="C141" s="465">
        <f t="shared" si="24"/>
        <v>3</v>
      </c>
      <c r="D141" s="465" t="str">
        <f t="shared" si="25"/>
        <v>Laboral</v>
      </c>
      <c r="E141" s="626"/>
      <c r="F141" s="626"/>
      <c r="G141" s="626"/>
      <c r="H141" s="626"/>
      <c r="I141" s="626"/>
      <c r="J141" s="626"/>
      <c r="K141" s="626"/>
      <c r="L141" s="626"/>
      <c r="M141" s="626"/>
      <c r="N141" s="626"/>
      <c r="O141" s="626"/>
      <c r="P141" s="626"/>
      <c r="Q141" s="626"/>
      <c r="R141" s="626"/>
      <c r="S141" s="626"/>
      <c r="T141" s="618">
        <f t="shared" si="26"/>
        <v>0</v>
      </c>
    </row>
    <row r="142" spans="1:20">
      <c r="A142" s="617">
        <f t="shared" si="27"/>
        <v>44336</v>
      </c>
      <c r="B142" s="629">
        <f t="shared" si="23"/>
        <v>5</v>
      </c>
      <c r="C142" s="465">
        <f t="shared" si="24"/>
        <v>4</v>
      </c>
      <c r="D142" s="465" t="str">
        <f t="shared" si="25"/>
        <v>Laboral</v>
      </c>
      <c r="E142" s="626"/>
      <c r="F142" s="626"/>
      <c r="G142" s="626"/>
      <c r="H142" s="626"/>
      <c r="I142" s="626"/>
      <c r="J142" s="626"/>
      <c r="K142" s="626"/>
      <c r="L142" s="626"/>
      <c r="M142" s="626"/>
      <c r="N142" s="626"/>
      <c r="O142" s="626"/>
      <c r="P142" s="626"/>
      <c r="Q142" s="626"/>
      <c r="R142" s="626"/>
      <c r="S142" s="626"/>
      <c r="T142" s="618">
        <f t="shared" si="26"/>
        <v>0</v>
      </c>
    </row>
    <row r="143" spans="1:20">
      <c r="A143" s="617">
        <f t="shared" si="27"/>
        <v>44337</v>
      </c>
      <c r="B143" s="629">
        <f t="shared" si="23"/>
        <v>5</v>
      </c>
      <c r="C143" s="465">
        <f t="shared" si="24"/>
        <v>5</v>
      </c>
      <c r="D143" s="465" t="str">
        <f t="shared" si="25"/>
        <v>Laboral</v>
      </c>
      <c r="E143" s="626"/>
      <c r="F143" s="626"/>
      <c r="G143" s="626"/>
      <c r="H143" s="626"/>
      <c r="I143" s="626"/>
      <c r="J143" s="626"/>
      <c r="K143" s="626"/>
      <c r="L143" s="626"/>
      <c r="M143" s="626"/>
      <c r="N143" s="626"/>
      <c r="O143" s="626"/>
      <c r="P143" s="626"/>
      <c r="Q143" s="626"/>
      <c r="R143" s="626"/>
      <c r="S143" s="626"/>
      <c r="T143" s="618">
        <f t="shared" si="26"/>
        <v>0</v>
      </c>
    </row>
    <row r="144" spans="1:20">
      <c r="A144" s="617">
        <f t="shared" si="27"/>
        <v>44338</v>
      </c>
      <c r="B144" s="629">
        <f t="shared" si="23"/>
        <v>5</v>
      </c>
      <c r="C144" s="465">
        <f t="shared" si="24"/>
        <v>6</v>
      </c>
      <c r="D144" s="465" t="str">
        <f t="shared" si="25"/>
        <v>Festivo</v>
      </c>
      <c r="E144" s="626"/>
      <c r="F144" s="626"/>
      <c r="G144" s="626"/>
      <c r="H144" s="626"/>
      <c r="I144" s="626"/>
      <c r="J144" s="626"/>
      <c r="K144" s="626"/>
      <c r="L144" s="626"/>
      <c r="M144" s="626"/>
      <c r="N144" s="626"/>
      <c r="O144" s="626"/>
      <c r="P144" s="626"/>
      <c r="Q144" s="626"/>
      <c r="R144" s="626"/>
      <c r="S144" s="626"/>
      <c r="T144" s="618">
        <f t="shared" si="26"/>
        <v>0</v>
      </c>
    </row>
    <row r="145" spans="1:20">
      <c r="A145" s="617">
        <f t="shared" si="27"/>
        <v>44339</v>
      </c>
      <c r="B145" s="629">
        <f t="shared" si="23"/>
        <v>5</v>
      </c>
      <c r="C145" s="465">
        <f t="shared" si="24"/>
        <v>7</v>
      </c>
      <c r="D145" s="465" t="str">
        <f t="shared" si="25"/>
        <v>Festivo</v>
      </c>
      <c r="E145" s="626"/>
      <c r="F145" s="626"/>
      <c r="G145" s="626"/>
      <c r="H145" s="626"/>
      <c r="I145" s="626"/>
      <c r="J145" s="626"/>
      <c r="K145" s="626"/>
      <c r="L145" s="626"/>
      <c r="M145" s="626"/>
      <c r="N145" s="626"/>
      <c r="O145" s="626"/>
      <c r="P145" s="626"/>
      <c r="Q145" s="626"/>
      <c r="R145" s="626"/>
      <c r="S145" s="626"/>
      <c r="T145" s="618">
        <f t="shared" si="26"/>
        <v>0</v>
      </c>
    </row>
    <row r="146" spans="1:20">
      <c r="A146" s="617">
        <f t="shared" si="27"/>
        <v>44340</v>
      </c>
      <c r="B146" s="629">
        <f t="shared" si="23"/>
        <v>5</v>
      </c>
      <c r="C146" s="465">
        <f t="shared" si="24"/>
        <v>1</v>
      </c>
      <c r="D146" s="465" t="str">
        <f t="shared" si="25"/>
        <v>Laboral</v>
      </c>
      <c r="E146" s="626"/>
      <c r="F146" s="626"/>
      <c r="G146" s="626"/>
      <c r="H146" s="626"/>
      <c r="I146" s="626"/>
      <c r="J146" s="626"/>
      <c r="K146" s="626"/>
      <c r="L146" s="626"/>
      <c r="M146" s="626"/>
      <c r="N146" s="626"/>
      <c r="O146" s="626"/>
      <c r="P146" s="626"/>
      <c r="Q146" s="626"/>
      <c r="R146" s="626"/>
      <c r="S146" s="626"/>
      <c r="T146" s="618">
        <f t="shared" si="26"/>
        <v>0</v>
      </c>
    </row>
    <row r="147" spans="1:20">
      <c r="A147" s="617">
        <f t="shared" si="27"/>
        <v>44341</v>
      </c>
      <c r="B147" s="629">
        <f t="shared" si="23"/>
        <v>5</v>
      </c>
      <c r="C147" s="465">
        <f t="shared" si="24"/>
        <v>2</v>
      </c>
      <c r="D147" s="465" t="str">
        <f t="shared" si="25"/>
        <v>Laboral</v>
      </c>
      <c r="E147" s="626"/>
      <c r="F147" s="626"/>
      <c r="G147" s="626"/>
      <c r="H147" s="626"/>
      <c r="I147" s="626"/>
      <c r="J147" s="626"/>
      <c r="K147" s="626"/>
      <c r="L147" s="626"/>
      <c r="M147" s="626"/>
      <c r="N147" s="626"/>
      <c r="O147" s="626"/>
      <c r="P147" s="626"/>
      <c r="Q147" s="626"/>
      <c r="R147" s="626"/>
      <c r="S147" s="626"/>
      <c r="T147" s="618">
        <f t="shared" si="26"/>
        <v>0</v>
      </c>
    </row>
    <row r="148" spans="1:20">
      <c r="A148" s="617">
        <f t="shared" si="27"/>
        <v>44342</v>
      </c>
      <c r="B148" s="629">
        <f t="shared" si="23"/>
        <v>5</v>
      </c>
      <c r="C148" s="465">
        <f t="shared" si="24"/>
        <v>3</v>
      </c>
      <c r="D148" s="465" t="str">
        <f t="shared" si="25"/>
        <v>Laboral</v>
      </c>
      <c r="E148" s="626"/>
      <c r="F148" s="626"/>
      <c r="G148" s="626"/>
      <c r="H148" s="626"/>
      <c r="I148" s="626"/>
      <c r="J148" s="626"/>
      <c r="K148" s="626"/>
      <c r="L148" s="626"/>
      <c r="M148" s="626"/>
      <c r="N148" s="626"/>
      <c r="O148" s="626"/>
      <c r="P148" s="626"/>
      <c r="Q148" s="626"/>
      <c r="R148" s="626"/>
      <c r="S148" s="626"/>
      <c r="T148" s="618">
        <f t="shared" si="26"/>
        <v>0</v>
      </c>
    </row>
    <row r="149" spans="1:20">
      <c r="A149" s="617">
        <f t="shared" si="27"/>
        <v>44343</v>
      </c>
      <c r="B149" s="629">
        <f t="shared" si="23"/>
        <v>5</v>
      </c>
      <c r="C149" s="465">
        <f t="shared" si="24"/>
        <v>4</v>
      </c>
      <c r="D149" s="465" t="str">
        <f t="shared" si="25"/>
        <v>Laboral</v>
      </c>
      <c r="E149" s="626"/>
      <c r="F149" s="626"/>
      <c r="G149" s="626"/>
      <c r="H149" s="626"/>
      <c r="I149" s="626"/>
      <c r="J149" s="626"/>
      <c r="K149" s="626"/>
      <c r="L149" s="626"/>
      <c r="M149" s="626"/>
      <c r="N149" s="626"/>
      <c r="O149" s="626"/>
      <c r="P149" s="626"/>
      <c r="Q149" s="626"/>
      <c r="R149" s="626"/>
      <c r="S149" s="626"/>
      <c r="T149" s="618">
        <f t="shared" si="26"/>
        <v>0</v>
      </c>
    </row>
    <row r="150" spans="1:20">
      <c r="A150" s="617">
        <f t="shared" si="27"/>
        <v>44344</v>
      </c>
      <c r="B150" s="629">
        <f t="shared" si="23"/>
        <v>5</v>
      </c>
      <c r="C150" s="465">
        <f t="shared" si="24"/>
        <v>5</v>
      </c>
      <c r="D150" s="465" t="str">
        <f t="shared" si="25"/>
        <v>Laboral</v>
      </c>
      <c r="E150" s="626"/>
      <c r="F150" s="626"/>
      <c r="G150" s="626"/>
      <c r="H150" s="626"/>
      <c r="I150" s="626"/>
      <c r="J150" s="626"/>
      <c r="K150" s="626"/>
      <c r="L150" s="626"/>
      <c r="M150" s="626"/>
      <c r="N150" s="626"/>
      <c r="O150" s="626"/>
      <c r="P150" s="626"/>
      <c r="Q150" s="626"/>
      <c r="R150" s="626"/>
      <c r="S150" s="626"/>
      <c r="T150" s="618">
        <f t="shared" si="26"/>
        <v>0</v>
      </c>
    </row>
    <row r="151" spans="1:20">
      <c r="A151" s="617">
        <f t="shared" si="27"/>
        <v>44345</v>
      </c>
      <c r="B151" s="629">
        <f t="shared" si="23"/>
        <v>5</v>
      </c>
      <c r="C151" s="465">
        <f t="shared" si="24"/>
        <v>6</v>
      </c>
      <c r="D151" s="465" t="str">
        <f t="shared" si="25"/>
        <v>Festivo</v>
      </c>
      <c r="E151" s="626"/>
      <c r="F151" s="626"/>
      <c r="G151" s="626"/>
      <c r="H151" s="626"/>
      <c r="I151" s="626"/>
      <c r="J151" s="626"/>
      <c r="K151" s="626"/>
      <c r="L151" s="626"/>
      <c r="M151" s="626"/>
      <c r="N151" s="626"/>
      <c r="O151" s="626"/>
      <c r="P151" s="626"/>
      <c r="Q151" s="626"/>
      <c r="R151" s="626"/>
      <c r="S151" s="626"/>
      <c r="T151" s="618">
        <f t="shared" si="26"/>
        <v>0</v>
      </c>
    </row>
    <row r="152" spans="1:20">
      <c r="A152" s="617">
        <f t="shared" si="27"/>
        <v>44346</v>
      </c>
      <c r="B152" s="629">
        <f t="shared" si="23"/>
        <v>5</v>
      </c>
      <c r="C152" s="465">
        <f t="shared" si="24"/>
        <v>7</v>
      </c>
      <c r="D152" s="465" t="str">
        <f t="shared" si="25"/>
        <v>Festivo</v>
      </c>
      <c r="E152" s="626"/>
      <c r="F152" s="626"/>
      <c r="G152" s="626"/>
      <c r="H152" s="626"/>
      <c r="I152" s="626"/>
      <c r="J152" s="626"/>
      <c r="K152" s="626"/>
      <c r="L152" s="626"/>
      <c r="M152" s="626"/>
      <c r="N152" s="626"/>
      <c r="O152" s="626"/>
      <c r="P152" s="626"/>
      <c r="Q152" s="626"/>
      <c r="R152" s="626"/>
      <c r="S152" s="626"/>
      <c r="T152" s="618">
        <f t="shared" si="26"/>
        <v>0</v>
      </c>
    </row>
    <row r="153" spans="1:20">
      <c r="A153" s="617">
        <f t="shared" si="27"/>
        <v>44347</v>
      </c>
      <c r="B153" s="629">
        <f t="shared" si="23"/>
        <v>5</v>
      </c>
      <c r="C153" s="465">
        <f t="shared" si="24"/>
        <v>1</v>
      </c>
      <c r="D153" s="465" t="str">
        <f t="shared" si="25"/>
        <v>Laboral</v>
      </c>
      <c r="E153" s="626"/>
      <c r="F153" s="626"/>
      <c r="G153" s="626"/>
      <c r="H153" s="626"/>
      <c r="I153" s="626"/>
      <c r="J153" s="626"/>
      <c r="K153" s="626"/>
      <c r="L153" s="626"/>
      <c r="M153" s="626"/>
      <c r="N153" s="626"/>
      <c r="O153" s="626"/>
      <c r="P153" s="626"/>
      <c r="Q153" s="626"/>
      <c r="R153" s="626"/>
      <c r="S153" s="626"/>
      <c r="T153" s="618">
        <f t="shared" si="26"/>
        <v>0</v>
      </c>
    </row>
    <row r="154" spans="1:20">
      <c r="A154" s="617">
        <f t="shared" si="27"/>
        <v>44348</v>
      </c>
      <c r="B154" s="629">
        <f t="shared" si="23"/>
        <v>6</v>
      </c>
      <c r="C154" s="465">
        <f t="shared" si="24"/>
        <v>2</v>
      </c>
      <c r="D154" s="465" t="str">
        <f t="shared" si="25"/>
        <v>Festivo</v>
      </c>
      <c r="E154" s="626"/>
      <c r="F154" s="626"/>
      <c r="G154" s="626"/>
      <c r="H154" s="626"/>
      <c r="I154" s="626"/>
      <c r="J154" s="626"/>
      <c r="K154" s="626"/>
      <c r="L154" s="626"/>
      <c r="M154" s="626"/>
      <c r="N154" s="626"/>
      <c r="O154" s="626"/>
      <c r="P154" s="626"/>
      <c r="Q154" s="626"/>
      <c r="R154" s="626"/>
      <c r="S154" s="626"/>
      <c r="T154" s="618">
        <f t="shared" si="26"/>
        <v>0</v>
      </c>
    </row>
    <row r="155" spans="1:20">
      <c r="A155" s="617">
        <f t="shared" si="27"/>
        <v>44349</v>
      </c>
      <c r="B155" s="629">
        <f t="shared" si="23"/>
        <v>6</v>
      </c>
      <c r="C155" s="465">
        <f t="shared" si="24"/>
        <v>3</v>
      </c>
      <c r="D155" s="465" t="str">
        <f t="shared" si="25"/>
        <v>Laboral</v>
      </c>
      <c r="E155" s="626"/>
      <c r="F155" s="626"/>
      <c r="G155" s="626"/>
      <c r="H155" s="626"/>
      <c r="I155" s="626"/>
      <c r="J155" s="626"/>
      <c r="K155" s="626"/>
      <c r="L155" s="626"/>
      <c r="M155" s="626"/>
      <c r="N155" s="626"/>
      <c r="O155" s="626"/>
      <c r="P155" s="626"/>
      <c r="Q155" s="626"/>
      <c r="R155" s="626"/>
      <c r="S155" s="626"/>
      <c r="T155" s="618">
        <f t="shared" si="26"/>
        <v>0</v>
      </c>
    </row>
    <row r="156" spans="1:20">
      <c r="A156" s="617">
        <f t="shared" si="27"/>
        <v>44350</v>
      </c>
      <c r="B156" s="629">
        <f t="shared" si="23"/>
        <v>6</v>
      </c>
      <c r="C156" s="465">
        <f t="shared" si="24"/>
        <v>4</v>
      </c>
      <c r="D156" s="465" t="str">
        <f t="shared" si="25"/>
        <v>Laboral</v>
      </c>
      <c r="E156" s="626"/>
      <c r="F156" s="626"/>
      <c r="G156" s="626"/>
      <c r="H156" s="626"/>
      <c r="I156" s="626"/>
      <c r="J156" s="626"/>
      <c r="K156" s="626"/>
      <c r="L156" s="626"/>
      <c r="M156" s="626"/>
      <c r="N156" s="626"/>
      <c r="O156" s="626"/>
      <c r="P156" s="626"/>
      <c r="Q156" s="626"/>
      <c r="R156" s="626"/>
      <c r="S156" s="626"/>
      <c r="T156" s="618">
        <f t="shared" si="26"/>
        <v>0</v>
      </c>
    </row>
    <row r="157" spans="1:20">
      <c r="A157" s="617">
        <f t="shared" si="27"/>
        <v>44351</v>
      </c>
      <c r="B157" s="629">
        <f t="shared" si="23"/>
        <v>6</v>
      </c>
      <c r="C157" s="465">
        <f t="shared" si="24"/>
        <v>5</v>
      </c>
      <c r="D157" s="465" t="str">
        <f t="shared" si="25"/>
        <v>Laboral</v>
      </c>
      <c r="E157" s="626"/>
      <c r="F157" s="626"/>
      <c r="G157" s="626"/>
      <c r="H157" s="626"/>
      <c r="I157" s="626"/>
      <c r="J157" s="626"/>
      <c r="K157" s="626"/>
      <c r="L157" s="626"/>
      <c r="M157" s="626"/>
      <c r="N157" s="626"/>
      <c r="O157" s="626"/>
      <c r="P157" s="626"/>
      <c r="Q157" s="626"/>
      <c r="R157" s="626"/>
      <c r="S157" s="626"/>
      <c r="T157" s="618">
        <f t="shared" si="26"/>
        <v>0</v>
      </c>
    </row>
    <row r="158" spans="1:20">
      <c r="A158" s="617">
        <f t="shared" si="27"/>
        <v>44352</v>
      </c>
      <c r="B158" s="629">
        <f t="shared" si="23"/>
        <v>6</v>
      </c>
      <c r="C158" s="465">
        <f t="shared" si="24"/>
        <v>6</v>
      </c>
      <c r="D158" s="465" t="str">
        <f t="shared" si="25"/>
        <v>Festivo</v>
      </c>
      <c r="E158" s="626"/>
      <c r="F158" s="626"/>
      <c r="G158" s="626"/>
      <c r="H158" s="626"/>
      <c r="I158" s="626"/>
      <c r="J158" s="626"/>
      <c r="K158" s="626"/>
      <c r="L158" s="626"/>
      <c r="M158" s="626"/>
      <c r="N158" s="626"/>
      <c r="O158" s="626"/>
      <c r="P158" s="626"/>
      <c r="Q158" s="626"/>
      <c r="R158" s="626"/>
      <c r="S158" s="626"/>
      <c r="T158" s="618">
        <f t="shared" si="26"/>
        <v>0</v>
      </c>
    </row>
    <row r="159" spans="1:20">
      <c r="A159" s="617">
        <f t="shared" si="27"/>
        <v>44353</v>
      </c>
      <c r="B159" s="629">
        <f t="shared" si="23"/>
        <v>6</v>
      </c>
      <c r="C159" s="465">
        <f t="shared" si="24"/>
        <v>7</v>
      </c>
      <c r="D159" s="465" t="str">
        <f t="shared" si="25"/>
        <v>Festivo</v>
      </c>
      <c r="E159" s="626"/>
      <c r="F159" s="626"/>
      <c r="G159" s="626"/>
      <c r="H159" s="626"/>
      <c r="I159" s="626"/>
      <c r="J159" s="626"/>
      <c r="K159" s="626"/>
      <c r="L159" s="626"/>
      <c r="M159" s="626"/>
      <c r="N159" s="626"/>
      <c r="O159" s="626"/>
      <c r="P159" s="626"/>
      <c r="Q159" s="626"/>
      <c r="R159" s="626"/>
      <c r="S159" s="626"/>
      <c r="T159" s="618">
        <f t="shared" si="26"/>
        <v>0</v>
      </c>
    </row>
    <row r="160" spans="1:20">
      <c r="A160" s="617">
        <f t="shared" si="27"/>
        <v>44354</v>
      </c>
      <c r="B160" s="629">
        <f t="shared" si="23"/>
        <v>6</v>
      </c>
      <c r="C160" s="465">
        <f t="shared" si="24"/>
        <v>1</v>
      </c>
      <c r="D160" s="465" t="str">
        <f t="shared" si="25"/>
        <v>Laboral</v>
      </c>
      <c r="E160" s="626"/>
      <c r="F160" s="626"/>
      <c r="G160" s="626"/>
      <c r="H160" s="626"/>
      <c r="I160" s="626"/>
      <c r="J160" s="626"/>
      <c r="K160" s="626"/>
      <c r="L160" s="626"/>
      <c r="M160" s="626"/>
      <c r="N160" s="626"/>
      <c r="O160" s="626"/>
      <c r="P160" s="626"/>
      <c r="Q160" s="626"/>
      <c r="R160" s="626"/>
      <c r="S160" s="626"/>
      <c r="T160" s="618">
        <f t="shared" si="26"/>
        <v>0</v>
      </c>
    </row>
    <row r="161" spans="1:20">
      <c r="A161" s="617">
        <f t="shared" si="27"/>
        <v>44355</v>
      </c>
      <c r="B161" s="629">
        <f t="shared" si="23"/>
        <v>6</v>
      </c>
      <c r="C161" s="465">
        <f t="shared" si="24"/>
        <v>2</v>
      </c>
      <c r="D161" s="465" t="str">
        <f t="shared" si="25"/>
        <v>Laboral</v>
      </c>
      <c r="E161" s="626"/>
      <c r="F161" s="626"/>
      <c r="G161" s="626"/>
      <c r="H161" s="626"/>
      <c r="I161" s="626"/>
      <c r="J161" s="626"/>
      <c r="K161" s="626"/>
      <c r="L161" s="626"/>
      <c r="M161" s="626"/>
      <c r="N161" s="626"/>
      <c r="O161" s="626"/>
      <c r="P161" s="626"/>
      <c r="Q161" s="626"/>
      <c r="R161" s="626"/>
      <c r="S161" s="626"/>
      <c r="T161" s="618">
        <f t="shared" si="26"/>
        <v>0</v>
      </c>
    </row>
    <row r="162" spans="1:20">
      <c r="A162" s="617">
        <f t="shared" si="27"/>
        <v>44356</v>
      </c>
      <c r="B162" s="629">
        <f t="shared" si="23"/>
        <v>6</v>
      </c>
      <c r="C162" s="465">
        <f t="shared" si="24"/>
        <v>3</v>
      </c>
      <c r="D162" s="465" t="str">
        <f t="shared" si="25"/>
        <v>Laboral</v>
      </c>
      <c r="E162" s="626"/>
      <c r="F162" s="626"/>
      <c r="G162" s="626"/>
      <c r="H162" s="626"/>
      <c r="I162" s="626"/>
      <c r="J162" s="626"/>
      <c r="K162" s="626"/>
      <c r="L162" s="626"/>
      <c r="M162" s="626"/>
      <c r="N162" s="626"/>
      <c r="O162" s="626"/>
      <c r="P162" s="626"/>
      <c r="Q162" s="626"/>
      <c r="R162" s="626"/>
      <c r="S162" s="626"/>
      <c r="T162" s="618">
        <f t="shared" si="26"/>
        <v>0</v>
      </c>
    </row>
    <row r="163" spans="1:20">
      <c r="A163" s="617">
        <f t="shared" si="27"/>
        <v>44357</v>
      </c>
      <c r="B163" s="629">
        <f t="shared" si="23"/>
        <v>6</v>
      </c>
      <c r="C163" s="465">
        <f t="shared" si="24"/>
        <v>4</v>
      </c>
      <c r="D163" s="465" t="str">
        <f t="shared" si="25"/>
        <v>Laboral</v>
      </c>
      <c r="E163" s="626"/>
      <c r="F163" s="626"/>
      <c r="G163" s="626"/>
      <c r="H163" s="626"/>
      <c r="I163" s="626"/>
      <c r="J163" s="626"/>
      <c r="K163" s="626"/>
      <c r="L163" s="626"/>
      <c r="M163" s="626"/>
      <c r="N163" s="626"/>
      <c r="O163" s="626"/>
      <c r="P163" s="626"/>
      <c r="Q163" s="626"/>
      <c r="R163" s="626"/>
      <c r="S163" s="626"/>
      <c r="T163" s="618">
        <f t="shared" si="26"/>
        <v>0</v>
      </c>
    </row>
    <row r="164" spans="1:20">
      <c r="A164" s="617">
        <f t="shared" si="27"/>
        <v>44358</v>
      </c>
      <c r="B164" s="629">
        <f t="shared" si="23"/>
        <v>6</v>
      </c>
      <c r="C164" s="465">
        <f t="shared" si="24"/>
        <v>5</v>
      </c>
      <c r="D164" s="465" t="str">
        <f t="shared" si="25"/>
        <v>Laboral</v>
      </c>
      <c r="E164" s="626"/>
      <c r="F164" s="626"/>
      <c r="G164" s="626"/>
      <c r="H164" s="626"/>
      <c r="I164" s="626"/>
      <c r="J164" s="626"/>
      <c r="K164" s="626"/>
      <c r="L164" s="626"/>
      <c r="M164" s="626"/>
      <c r="N164" s="626"/>
      <c r="O164" s="626"/>
      <c r="P164" s="626"/>
      <c r="Q164" s="626"/>
      <c r="R164" s="626"/>
      <c r="S164" s="626"/>
      <c r="T164" s="618">
        <f t="shared" si="26"/>
        <v>0</v>
      </c>
    </row>
    <row r="165" spans="1:20">
      <c r="A165" s="617">
        <f t="shared" si="27"/>
        <v>44359</v>
      </c>
      <c r="B165" s="629">
        <f t="shared" si="23"/>
        <v>6</v>
      </c>
      <c r="C165" s="465">
        <f t="shared" si="24"/>
        <v>6</v>
      </c>
      <c r="D165" s="465" t="str">
        <f t="shared" si="25"/>
        <v>Festivo</v>
      </c>
      <c r="E165" s="626"/>
      <c r="F165" s="626"/>
      <c r="G165" s="626"/>
      <c r="H165" s="626"/>
      <c r="I165" s="626"/>
      <c r="J165" s="626"/>
      <c r="K165" s="626"/>
      <c r="L165" s="626"/>
      <c r="M165" s="626"/>
      <c r="N165" s="626"/>
      <c r="O165" s="626"/>
      <c r="P165" s="626"/>
      <c r="Q165" s="626"/>
      <c r="R165" s="626"/>
      <c r="S165" s="626"/>
      <c r="T165" s="618">
        <f t="shared" si="26"/>
        <v>0</v>
      </c>
    </row>
    <row r="166" spans="1:20">
      <c r="A166" s="617">
        <f t="shared" si="27"/>
        <v>44360</v>
      </c>
      <c r="B166" s="629">
        <f t="shared" si="23"/>
        <v>6</v>
      </c>
      <c r="C166" s="465">
        <f t="shared" si="24"/>
        <v>7</v>
      </c>
      <c r="D166" s="465" t="str">
        <f t="shared" si="25"/>
        <v>Festivo</v>
      </c>
      <c r="E166" s="626"/>
      <c r="F166" s="626"/>
      <c r="G166" s="626"/>
      <c r="H166" s="626"/>
      <c r="I166" s="626"/>
      <c r="J166" s="626"/>
      <c r="K166" s="626"/>
      <c r="L166" s="626"/>
      <c r="M166" s="626"/>
      <c r="N166" s="626"/>
      <c r="O166" s="626"/>
      <c r="P166" s="626"/>
      <c r="Q166" s="626"/>
      <c r="R166" s="626"/>
      <c r="S166" s="626"/>
      <c r="T166" s="618">
        <f t="shared" si="26"/>
        <v>0</v>
      </c>
    </row>
    <row r="167" spans="1:20">
      <c r="A167" s="617">
        <f t="shared" si="27"/>
        <v>44361</v>
      </c>
      <c r="B167" s="629">
        <f t="shared" si="23"/>
        <v>6</v>
      </c>
      <c r="C167" s="465">
        <f t="shared" si="24"/>
        <v>1</v>
      </c>
      <c r="D167" s="465" t="str">
        <f t="shared" si="25"/>
        <v>Laboral</v>
      </c>
      <c r="E167" s="626"/>
      <c r="F167" s="626"/>
      <c r="G167" s="626"/>
      <c r="H167" s="626"/>
      <c r="I167" s="626"/>
      <c r="J167" s="626"/>
      <c r="K167" s="626"/>
      <c r="L167" s="626"/>
      <c r="M167" s="626"/>
      <c r="N167" s="626"/>
      <c r="O167" s="626"/>
      <c r="P167" s="626"/>
      <c r="Q167" s="626"/>
      <c r="R167" s="626"/>
      <c r="S167" s="626"/>
      <c r="T167" s="618">
        <f t="shared" si="26"/>
        <v>0</v>
      </c>
    </row>
    <row r="168" spans="1:20">
      <c r="A168" s="617">
        <f t="shared" si="27"/>
        <v>44362</v>
      </c>
      <c r="B168" s="629">
        <f t="shared" si="23"/>
        <v>6</v>
      </c>
      <c r="C168" s="465">
        <f t="shared" si="24"/>
        <v>2</v>
      </c>
      <c r="D168" s="465" t="str">
        <f t="shared" si="25"/>
        <v>Laboral</v>
      </c>
      <c r="E168" s="626"/>
      <c r="F168" s="626"/>
      <c r="G168" s="626"/>
      <c r="H168" s="626"/>
      <c r="I168" s="626"/>
      <c r="J168" s="626"/>
      <c r="K168" s="626"/>
      <c r="L168" s="626"/>
      <c r="M168" s="626"/>
      <c r="N168" s="626"/>
      <c r="O168" s="626"/>
      <c r="P168" s="626"/>
      <c r="Q168" s="626"/>
      <c r="R168" s="626"/>
      <c r="S168" s="626"/>
      <c r="T168" s="618">
        <f t="shared" si="26"/>
        <v>0</v>
      </c>
    </row>
    <row r="169" spans="1:20">
      <c r="A169" s="617">
        <f t="shared" si="27"/>
        <v>44363</v>
      </c>
      <c r="B169" s="629">
        <f t="shared" si="23"/>
        <v>6</v>
      </c>
      <c r="C169" s="465">
        <f t="shared" si="24"/>
        <v>3</v>
      </c>
      <c r="D169" s="465" t="str">
        <f t="shared" si="25"/>
        <v>Laboral</v>
      </c>
      <c r="E169" s="626"/>
      <c r="F169" s="626"/>
      <c r="G169" s="626"/>
      <c r="H169" s="626"/>
      <c r="I169" s="626"/>
      <c r="J169" s="626"/>
      <c r="K169" s="626"/>
      <c r="L169" s="626"/>
      <c r="M169" s="626"/>
      <c r="N169" s="626"/>
      <c r="O169" s="626"/>
      <c r="P169" s="626"/>
      <c r="Q169" s="626"/>
      <c r="R169" s="626"/>
      <c r="S169" s="626"/>
      <c r="T169" s="618">
        <f t="shared" si="26"/>
        <v>0</v>
      </c>
    </row>
    <row r="170" spans="1:20">
      <c r="A170" s="617">
        <f t="shared" si="27"/>
        <v>44364</v>
      </c>
      <c r="B170" s="629">
        <f t="shared" si="23"/>
        <v>6</v>
      </c>
      <c r="C170" s="465">
        <f t="shared" si="24"/>
        <v>4</v>
      </c>
      <c r="D170" s="465" t="str">
        <f t="shared" si="25"/>
        <v>Laboral</v>
      </c>
      <c r="E170" s="626"/>
      <c r="F170" s="626"/>
      <c r="G170" s="626"/>
      <c r="H170" s="626"/>
      <c r="I170" s="626"/>
      <c r="J170" s="626"/>
      <c r="K170" s="626"/>
      <c r="L170" s="626"/>
      <c r="M170" s="626"/>
      <c r="N170" s="626"/>
      <c r="O170" s="626"/>
      <c r="P170" s="626"/>
      <c r="Q170" s="626"/>
      <c r="R170" s="626"/>
      <c r="S170" s="626"/>
      <c r="T170" s="618">
        <f t="shared" si="26"/>
        <v>0</v>
      </c>
    </row>
    <row r="171" spans="1:20">
      <c r="A171" s="617">
        <f t="shared" si="27"/>
        <v>44365</v>
      </c>
      <c r="B171" s="629">
        <f t="shared" si="23"/>
        <v>6</v>
      </c>
      <c r="C171" s="465">
        <f t="shared" si="24"/>
        <v>5</v>
      </c>
      <c r="D171" s="465" t="str">
        <f t="shared" si="25"/>
        <v>Laboral</v>
      </c>
      <c r="E171" s="626"/>
      <c r="F171" s="626"/>
      <c r="G171" s="626"/>
      <c r="H171" s="626"/>
      <c r="I171" s="626"/>
      <c r="J171" s="626"/>
      <c r="K171" s="626"/>
      <c r="L171" s="626"/>
      <c r="M171" s="626"/>
      <c r="N171" s="626"/>
      <c r="O171" s="626"/>
      <c r="P171" s="626"/>
      <c r="Q171" s="626"/>
      <c r="R171" s="626"/>
      <c r="S171" s="626"/>
      <c r="T171" s="618">
        <f t="shared" si="26"/>
        <v>0</v>
      </c>
    </row>
    <row r="172" spans="1:20">
      <c r="A172" s="617">
        <f t="shared" si="27"/>
        <v>44366</v>
      </c>
      <c r="B172" s="629">
        <f t="shared" si="23"/>
        <v>6</v>
      </c>
      <c r="C172" s="465">
        <f t="shared" si="24"/>
        <v>6</v>
      </c>
      <c r="D172" s="465" t="str">
        <f t="shared" si="25"/>
        <v>Festivo</v>
      </c>
      <c r="E172" s="626"/>
      <c r="F172" s="626"/>
      <c r="G172" s="626"/>
      <c r="H172" s="626"/>
      <c r="I172" s="626"/>
      <c r="J172" s="626"/>
      <c r="K172" s="626"/>
      <c r="L172" s="626"/>
      <c r="M172" s="626"/>
      <c r="N172" s="626"/>
      <c r="O172" s="626"/>
      <c r="P172" s="626"/>
      <c r="Q172" s="626"/>
      <c r="R172" s="626"/>
      <c r="S172" s="626"/>
      <c r="T172" s="618">
        <f t="shared" si="26"/>
        <v>0</v>
      </c>
    </row>
    <row r="173" spans="1:20">
      <c r="A173" s="617">
        <f t="shared" si="27"/>
        <v>44367</v>
      </c>
      <c r="B173" s="629">
        <f t="shared" si="23"/>
        <v>6</v>
      </c>
      <c r="C173" s="465">
        <f t="shared" si="24"/>
        <v>7</v>
      </c>
      <c r="D173" s="465" t="str">
        <f t="shared" si="25"/>
        <v>Festivo</v>
      </c>
      <c r="E173" s="626"/>
      <c r="F173" s="626"/>
      <c r="G173" s="626"/>
      <c r="H173" s="626"/>
      <c r="I173" s="626"/>
      <c r="J173" s="626"/>
      <c r="K173" s="626"/>
      <c r="L173" s="626"/>
      <c r="M173" s="626"/>
      <c r="N173" s="626"/>
      <c r="O173" s="626"/>
      <c r="P173" s="626"/>
      <c r="Q173" s="626"/>
      <c r="R173" s="626"/>
      <c r="S173" s="626"/>
      <c r="T173" s="618">
        <f t="shared" si="26"/>
        <v>0</v>
      </c>
    </row>
    <row r="174" spans="1:20">
      <c r="A174" s="617">
        <f t="shared" si="27"/>
        <v>44368</v>
      </c>
      <c r="B174" s="629">
        <f t="shared" si="23"/>
        <v>6</v>
      </c>
      <c r="C174" s="465">
        <f t="shared" si="24"/>
        <v>1</v>
      </c>
      <c r="D174" s="465" t="str">
        <f t="shared" si="25"/>
        <v>Laboral</v>
      </c>
      <c r="E174" s="626"/>
      <c r="F174" s="626"/>
      <c r="G174" s="626"/>
      <c r="H174" s="626"/>
      <c r="I174" s="626"/>
      <c r="J174" s="626"/>
      <c r="K174" s="626"/>
      <c r="L174" s="626"/>
      <c r="M174" s="626"/>
      <c r="N174" s="626"/>
      <c r="O174" s="626"/>
      <c r="P174" s="626"/>
      <c r="Q174" s="626"/>
      <c r="R174" s="626"/>
      <c r="S174" s="626"/>
      <c r="T174" s="618">
        <f t="shared" si="26"/>
        <v>0</v>
      </c>
    </row>
    <row r="175" spans="1:20">
      <c r="A175" s="617">
        <f t="shared" si="27"/>
        <v>44369</v>
      </c>
      <c r="B175" s="629">
        <f t="shared" si="23"/>
        <v>6</v>
      </c>
      <c r="C175" s="465">
        <f t="shared" si="24"/>
        <v>2</v>
      </c>
      <c r="D175" s="465" t="str">
        <f t="shared" si="25"/>
        <v>Laboral</v>
      </c>
      <c r="E175" s="626"/>
      <c r="F175" s="626"/>
      <c r="G175" s="626"/>
      <c r="H175" s="626"/>
      <c r="I175" s="626"/>
      <c r="J175" s="626"/>
      <c r="K175" s="626"/>
      <c r="L175" s="626"/>
      <c r="M175" s="626"/>
      <c r="N175" s="626"/>
      <c r="O175" s="626"/>
      <c r="P175" s="626"/>
      <c r="Q175" s="626"/>
      <c r="R175" s="626"/>
      <c r="S175" s="626"/>
      <c r="T175" s="618">
        <f t="shared" si="26"/>
        <v>0</v>
      </c>
    </row>
    <row r="176" spans="1:20">
      <c r="A176" s="617">
        <f t="shared" si="27"/>
        <v>44370</v>
      </c>
      <c r="B176" s="629">
        <f t="shared" si="23"/>
        <v>6</v>
      </c>
      <c r="C176" s="465">
        <f t="shared" si="24"/>
        <v>3</v>
      </c>
      <c r="D176" s="465" t="str">
        <f t="shared" si="25"/>
        <v>Laboral</v>
      </c>
      <c r="E176" s="626"/>
      <c r="F176" s="626"/>
      <c r="G176" s="626"/>
      <c r="H176" s="626"/>
      <c r="I176" s="626"/>
      <c r="J176" s="626"/>
      <c r="K176" s="626"/>
      <c r="L176" s="626"/>
      <c r="M176" s="626"/>
      <c r="N176" s="626"/>
      <c r="O176" s="626"/>
      <c r="P176" s="626"/>
      <c r="Q176" s="626"/>
      <c r="R176" s="626"/>
      <c r="S176" s="626"/>
      <c r="T176" s="618">
        <f t="shared" si="26"/>
        <v>0</v>
      </c>
    </row>
    <row r="177" spans="1:20">
      <c r="A177" s="617">
        <f t="shared" si="27"/>
        <v>44371</v>
      </c>
      <c r="B177" s="629">
        <f t="shared" si="23"/>
        <v>6</v>
      </c>
      <c r="C177" s="465">
        <f t="shared" si="24"/>
        <v>4</v>
      </c>
      <c r="D177" s="465" t="str">
        <f t="shared" si="25"/>
        <v>Festivo</v>
      </c>
      <c r="E177" s="626"/>
      <c r="F177" s="626"/>
      <c r="G177" s="626"/>
      <c r="H177" s="626"/>
      <c r="I177" s="626"/>
      <c r="J177" s="626"/>
      <c r="K177" s="626"/>
      <c r="L177" s="626"/>
      <c r="M177" s="626"/>
      <c r="N177" s="626"/>
      <c r="O177" s="626"/>
      <c r="P177" s="626"/>
      <c r="Q177" s="626"/>
      <c r="R177" s="626"/>
      <c r="S177" s="626"/>
      <c r="T177" s="618">
        <f t="shared" si="26"/>
        <v>0</v>
      </c>
    </row>
    <row r="178" spans="1:20">
      <c r="A178" s="617">
        <f t="shared" si="27"/>
        <v>44372</v>
      </c>
      <c r="B178" s="629">
        <f t="shared" si="23"/>
        <v>6</v>
      </c>
      <c r="C178" s="465">
        <f t="shared" si="24"/>
        <v>5</v>
      </c>
      <c r="D178" s="465" t="str">
        <f t="shared" si="25"/>
        <v>Laboral</v>
      </c>
      <c r="E178" s="626"/>
      <c r="F178" s="626"/>
      <c r="G178" s="626"/>
      <c r="H178" s="626"/>
      <c r="I178" s="626"/>
      <c r="J178" s="626"/>
      <c r="K178" s="626"/>
      <c r="L178" s="626"/>
      <c r="M178" s="626"/>
      <c r="N178" s="626"/>
      <c r="O178" s="626"/>
      <c r="P178" s="626"/>
      <c r="Q178" s="626"/>
      <c r="R178" s="626"/>
      <c r="S178" s="626"/>
      <c r="T178" s="618">
        <f t="shared" si="26"/>
        <v>0</v>
      </c>
    </row>
    <row r="179" spans="1:20">
      <c r="A179" s="617">
        <f t="shared" si="27"/>
        <v>44373</v>
      </c>
      <c r="B179" s="629">
        <f t="shared" si="23"/>
        <v>6</v>
      </c>
      <c r="C179" s="465">
        <f t="shared" si="24"/>
        <v>6</v>
      </c>
      <c r="D179" s="465" t="str">
        <f t="shared" si="25"/>
        <v>Festivo</v>
      </c>
      <c r="E179" s="626"/>
      <c r="F179" s="626"/>
      <c r="G179" s="626"/>
      <c r="H179" s="626"/>
      <c r="I179" s="626"/>
      <c r="J179" s="626"/>
      <c r="K179" s="626"/>
      <c r="L179" s="626"/>
      <c r="M179" s="626"/>
      <c r="N179" s="626"/>
      <c r="O179" s="626"/>
      <c r="P179" s="626"/>
      <c r="Q179" s="626"/>
      <c r="R179" s="626"/>
      <c r="S179" s="626"/>
      <c r="T179" s="618">
        <f t="shared" si="26"/>
        <v>0</v>
      </c>
    </row>
    <row r="180" spans="1:20">
      <c r="A180" s="617">
        <f t="shared" si="27"/>
        <v>44374</v>
      </c>
      <c r="B180" s="629">
        <f t="shared" si="23"/>
        <v>6</v>
      </c>
      <c r="C180" s="465">
        <f t="shared" si="24"/>
        <v>7</v>
      </c>
      <c r="D180" s="465" t="str">
        <f t="shared" si="25"/>
        <v>Festivo</v>
      </c>
      <c r="E180" s="626"/>
      <c r="F180" s="626"/>
      <c r="G180" s="626"/>
      <c r="H180" s="626"/>
      <c r="I180" s="626"/>
      <c r="J180" s="626"/>
      <c r="K180" s="626"/>
      <c r="L180" s="626"/>
      <c r="M180" s="626"/>
      <c r="N180" s="626"/>
      <c r="O180" s="626"/>
      <c r="P180" s="626"/>
      <c r="Q180" s="626"/>
      <c r="R180" s="626"/>
      <c r="S180" s="626"/>
      <c r="T180" s="618">
        <f t="shared" si="26"/>
        <v>0</v>
      </c>
    </row>
    <row r="181" spans="1:20">
      <c r="A181" s="617">
        <f t="shared" si="27"/>
        <v>44375</v>
      </c>
      <c r="B181" s="629">
        <f t="shared" si="23"/>
        <v>6</v>
      </c>
      <c r="C181" s="465">
        <f t="shared" si="24"/>
        <v>1</v>
      </c>
      <c r="D181" s="465" t="str">
        <f t="shared" si="25"/>
        <v>Laboral</v>
      </c>
      <c r="E181" s="626"/>
      <c r="F181" s="626"/>
      <c r="G181" s="626"/>
      <c r="H181" s="626"/>
      <c r="I181" s="626"/>
      <c r="J181" s="626"/>
      <c r="K181" s="626"/>
      <c r="L181" s="626"/>
      <c r="M181" s="626"/>
      <c r="N181" s="626"/>
      <c r="O181" s="626"/>
      <c r="P181" s="626"/>
      <c r="Q181" s="626"/>
      <c r="R181" s="626"/>
      <c r="S181" s="626"/>
      <c r="T181" s="618">
        <f t="shared" si="26"/>
        <v>0</v>
      </c>
    </row>
    <row r="182" spans="1:20">
      <c r="A182" s="617">
        <f t="shared" si="27"/>
        <v>44376</v>
      </c>
      <c r="B182" s="629">
        <f t="shared" si="23"/>
        <v>6</v>
      </c>
      <c r="C182" s="465">
        <f t="shared" si="24"/>
        <v>2</v>
      </c>
      <c r="D182" s="465" t="str">
        <f t="shared" si="25"/>
        <v>Laboral</v>
      </c>
      <c r="E182" s="626"/>
      <c r="F182" s="626"/>
      <c r="G182" s="626"/>
      <c r="H182" s="626"/>
      <c r="I182" s="626"/>
      <c r="J182" s="626"/>
      <c r="K182" s="626"/>
      <c r="L182" s="626"/>
      <c r="M182" s="626"/>
      <c r="N182" s="626"/>
      <c r="O182" s="626"/>
      <c r="P182" s="626"/>
      <c r="Q182" s="626"/>
      <c r="R182" s="626"/>
      <c r="S182" s="626"/>
      <c r="T182" s="618">
        <f t="shared" si="26"/>
        <v>0</v>
      </c>
    </row>
    <row r="183" spans="1:20">
      <c r="A183" s="617">
        <f t="shared" si="27"/>
        <v>44377</v>
      </c>
      <c r="B183" s="629">
        <f t="shared" si="23"/>
        <v>6</v>
      </c>
      <c r="C183" s="465">
        <f t="shared" si="24"/>
        <v>3</v>
      </c>
      <c r="D183" s="465" t="str">
        <f t="shared" si="25"/>
        <v>Laboral</v>
      </c>
      <c r="E183" s="626"/>
      <c r="F183" s="626"/>
      <c r="G183" s="626"/>
      <c r="H183" s="626"/>
      <c r="I183" s="626"/>
      <c r="J183" s="626"/>
      <c r="K183" s="626"/>
      <c r="L183" s="626"/>
      <c r="M183" s="626"/>
      <c r="N183" s="626"/>
      <c r="O183" s="626"/>
      <c r="P183" s="626"/>
      <c r="Q183" s="626"/>
      <c r="R183" s="626"/>
      <c r="S183" s="626"/>
      <c r="T183" s="618">
        <f t="shared" si="26"/>
        <v>0</v>
      </c>
    </row>
    <row r="184" spans="1:20">
      <c r="A184" s="617">
        <f t="shared" si="27"/>
        <v>44378</v>
      </c>
      <c r="B184" s="629">
        <f t="shared" si="23"/>
        <v>7</v>
      </c>
      <c r="C184" s="465">
        <f t="shared" si="24"/>
        <v>4</v>
      </c>
      <c r="D184" s="465" t="str">
        <f t="shared" si="25"/>
        <v>Laboral</v>
      </c>
      <c r="E184" s="626"/>
      <c r="F184" s="626"/>
      <c r="G184" s="626"/>
      <c r="H184" s="626"/>
      <c r="I184" s="626"/>
      <c r="J184" s="626"/>
      <c r="K184" s="626"/>
      <c r="L184" s="626"/>
      <c r="M184" s="626"/>
      <c r="N184" s="626"/>
      <c r="O184" s="626"/>
      <c r="P184" s="626"/>
      <c r="Q184" s="626"/>
      <c r="R184" s="626"/>
      <c r="S184" s="626"/>
      <c r="T184" s="618">
        <f t="shared" si="26"/>
        <v>0</v>
      </c>
    </row>
    <row r="185" spans="1:20">
      <c r="A185" s="617">
        <f t="shared" si="27"/>
        <v>44379</v>
      </c>
      <c r="B185" s="629">
        <f t="shared" si="23"/>
        <v>7</v>
      </c>
      <c r="C185" s="465">
        <f t="shared" si="24"/>
        <v>5</v>
      </c>
      <c r="D185" s="465" t="str">
        <f t="shared" si="25"/>
        <v>Laboral</v>
      </c>
      <c r="E185" s="626"/>
      <c r="F185" s="626"/>
      <c r="G185" s="626"/>
      <c r="H185" s="626"/>
      <c r="I185" s="626"/>
      <c r="J185" s="626"/>
      <c r="K185" s="626"/>
      <c r="L185" s="626"/>
      <c r="M185" s="626"/>
      <c r="N185" s="626"/>
      <c r="O185" s="626"/>
      <c r="P185" s="626"/>
      <c r="Q185" s="626"/>
      <c r="R185" s="626"/>
      <c r="S185" s="626"/>
      <c r="T185" s="618">
        <f t="shared" si="26"/>
        <v>0</v>
      </c>
    </row>
    <row r="186" spans="1:20">
      <c r="A186" s="617">
        <f t="shared" si="27"/>
        <v>44380</v>
      </c>
      <c r="B186" s="629">
        <f t="shared" si="23"/>
        <v>7</v>
      </c>
      <c r="C186" s="465">
        <f t="shared" si="24"/>
        <v>6</v>
      </c>
      <c r="D186" s="465" t="str">
        <f t="shared" si="25"/>
        <v>Festivo</v>
      </c>
      <c r="E186" s="626"/>
      <c r="F186" s="626"/>
      <c r="G186" s="626"/>
      <c r="H186" s="626"/>
      <c r="I186" s="626"/>
      <c r="J186" s="626"/>
      <c r="K186" s="626"/>
      <c r="L186" s="626"/>
      <c r="M186" s="626"/>
      <c r="N186" s="626"/>
      <c r="O186" s="626"/>
      <c r="P186" s="626"/>
      <c r="Q186" s="626"/>
      <c r="R186" s="626"/>
      <c r="S186" s="626"/>
      <c r="T186" s="618">
        <f t="shared" si="26"/>
        <v>0</v>
      </c>
    </row>
    <row r="187" spans="1:20">
      <c r="A187" s="617">
        <f t="shared" si="27"/>
        <v>44381</v>
      </c>
      <c r="B187" s="629">
        <f t="shared" si="23"/>
        <v>7</v>
      </c>
      <c r="C187" s="465">
        <f t="shared" si="24"/>
        <v>7</v>
      </c>
      <c r="D187" s="465" t="str">
        <f t="shared" si="25"/>
        <v>Festivo</v>
      </c>
      <c r="E187" s="626"/>
      <c r="F187" s="626"/>
      <c r="G187" s="626"/>
      <c r="H187" s="626"/>
      <c r="I187" s="626"/>
      <c r="J187" s="626"/>
      <c r="K187" s="626"/>
      <c r="L187" s="626"/>
      <c r="M187" s="626"/>
      <c r="N187" s="626"/>
      <c r="O187" s="626"/>
      <c r="P187" s="626"/>
      <c r="Q187" s="626"/>
      <c r="R187" s="626"/>
      <c r="S187" s="626"/>
      <c r="T187" s="618">
        <f t="shared" si="26"/>
        <v>0</v>
      </c>
    </row>
    <row r="188" spans="1:20">
      <c r="A188" s="617">
        <f t="shared" si="27"/>
        <v>44382</v>
      </c>
      <c r="B188" s="629">
        <f t="shared" si="23"/>
        <v>7</v>
      </c>
      <c r="C188" s="465">
        <f t="shared" si="24"/>
        <v>1</v>
      </c>
      <c r="D188" s="465" t="str">
        <f t="shared" si="25"/>
        <v>Laboral</v>
      </c>
      <c r="E188" s="626"/>
      <c r="F188" s="626"/>
      <c r="G188" s="626"/>
      <c r="H188" s="626"/>
      <c r="I188" s="626"/>
      <c r="J188" s="626"/>
      <c r="K188" s="626"/>
      <c r="L188" s="626"/>
      <c r="M188" s="626"/>
      <c r="N188" s="626"/>
      <c r="O188" s="626"/>
      <c r="P188" s="626"/>
      <c r="Q188" s="626"/>
      <c r="R188" s="626"/>
      <c r="S188" s="626"/>
      <c r="T188" s="618">
        <f t="shared" si="26"/>
        <v>0</v>
      </c>
    </row>
    <row r="189" spans="1:20">
      <c r="A189" s="617">
        <f t="shared" si="27"/>
        <v>44383</v>
      </c>
      <c r="B189" s="629">
        <f t="shared" si="23"/>
        <v>7</v>
      </c>
      <c r="C189" s="465">
        <f t="shared" si="24"/>
        <v>2</v>
      </c>
      <c r="D189" s="465" t="str">
        <f t="shared" si="25"/>
        <v>Laboral</v>
      </c>
      <c r="E189" s="626"/>
      <c r="F189" s="626"/>
      <c r="G189" s="626"/>
      <c r="H189" s="626"/>
      <c r="I189" s="626"/>
      <c r="J189" s="626"/>
      <c r="K189" s="626"/>
      <c r="L189" s="626"/>
      <c r="M189" s="626"/>
      <c r="N189" s="626"/>
      <c r="O189" s="626"/>
      <c r="P189" s="626"/>
      <c r="Q189" s="626"/>
      <c r="R189" s="626"/>
      <c r="S189" s="626"/>
      <c r="T189" s="618">
        <f t="shared" si="26"/>
        <v>0</v>
      </c>
    </row>
    <row r="190" spans="1:20">
      <c r="A190" s="617">
        <f t="shared" si="27"/>
        <v>44384</v>
      </c>
      <c r="B190" s="629">
        <f t="shared" si="23"/>
        <v>7</v>
      </c>
      <c r="C190" s="465">
        <f t="shared" si="24"/>
        <v>3</v>
      </c>
      <c r="D190" s="465" t="str">
        <f t="shared" si="25"/>
        <v>Laboral</v>
      </c>
      <c r="E190" s="626"/>
      <c r="F190" s="626"/>
      <c r="G190" s="626"/>
      <c r="H190" s="626"/>
      <c r="I190" s="626"/>
      <c r="J190" s="626"/>
      <c r="K190" s="626"/>
      <c r="L190" s="626"/>
      <c r="M190" s="626"/>
      <c r="N190" s="626"/>
      <c r="O190" s="626"/>
      <c r="P190" s="626"/>
      <c r="Q190" s="626"/>
      <c r="R190" s="626"/>
      <c r="S190" s="626"/>
      <c r="T190" s="618">
        <f t="shared" si="26"/>
        <v>0</v>
      </c>
    </row>
    <row r="191" spans="1:20">
      <c r="A191" s="617">
        <f t="shared" si="27"/>
        <v>44385</v>
      </c>
      <c r="B191" s="629">
        <f t="shared" si="23"/>
        <v>7</v>
      </c>
      <c r="C191" s="465">
        <f t="shared" si="24"/>
        <v>4</v>
      </c>
      <c r="D191" s="465" t="str">
        <f t="shared" si="25"/>
        <v>Laboral</v>
      </c>
      <c r="E191" s="626"/>
      <c r="F191" s="626"/>
      <c r="G191" s="626"/>
      <c r="H191" s="626"/>
      <c r="I191" s="626"/>
      <c r="J191" s="626"/>
      <c r="K191" s="626"/>
      <c r="L191" s="626"/>
      <c r="M191" s="626"/>
      <c r="N191" s="626"/>
      <c r="O191" s="626"/>
      <c r="P191" s="626"/>
      <c r="Q191" s="626"/>
      <c r="R191" s="626"/>
      <c r="S191" s="626"/>
      <c r="T191" s="618">
        <f t="shared" si="26"/>
        <v>0</v>
      </c>
    </row>
    <row r="192" spans="1:20">
      <c r="A192" s="617">
        <f t="shared" si="27"/>
        <v>44386</v>
      </c>
      <c r="B192" s="629">
        <f t="shared" si="23"/>
        <v>7</v>
      </c>
      <c r="C192" s="465">
        <f t="shared" si="24"/>
        <v>5</v>
      </c>
      <c r="D192" s="465" t="str">
        <f t="shared" si="25"/>
        <v>Laboral</v>
      </c>
      <c r="E192" s="626"/>
      <c r="F192" s="626"/>
      <c r="G192" s="626"/>
      <c r="H192" s="626"/>
      <c r="I192" s="626"/>
      <c r="J192" s="626"/>
      <c r="K192" s="626"/>
      <c r="L192" s="626"/>
      <c r="M192" s="626"/>
      <c r="N192" s="626"/>
      <c r="O192" s="626"/>
      <c r="P192" s="626"/>
      <c r="Q192" s="626"/>
      <c r="R192" s="626"/>
      <c r="S192" s="626"/>
      <c r="T192" s="618">
        <f t="shared" si="26"/>
        <v>0</v>
      </c>
    </row>
    <row r="193" spans="1:20">
      <c r="A193" s="617">
        <f t="shared" si="27"/>
        <v>44387</v>
      </c>
      <c r="B193" s="629">
        <f t="shared" si="23"/>
        <v>7</v>
      </c>
      <c r="C193" s="465">
        <f t="shared" si="24"/>
        <v>6</v>
      </c>
      <c r="D193" s="465" t="str">
        <f t="shared" si="25"/>
        <v>Festivo</v>
      </c>
      <c r="E193" s="626"/>
      <c r="F193" s="626"/>
      <c r="G193" s="626"/>
      <c r="H193" s="626"/>
      <c r="I193" s="626"/>
      <c r="J193" s="626"/>
      <c r="K193" s="626"/>
      <c r="L193" s="626"/>
      <c r="M193" s="626"/>
      <c r="N193" s="626"/>
      <c r="O193" s="626"/>
      <c r="P193" s="626"/>
      <c r="Q193" s="626"/>
      <c r="R193" s="626"/>
      <c r="S193" s="626"/>
      <c r="T193" s="618">
        <f t="shared" si="26"/>
        <v>0</v>
      </c>
    </row>
    <row r="194" spans="1:20">
      <c r="A194" s="617">
        <f t="shared" si="27"/>
        <v>44388</v>
      </c>
      <c r="B194" s="629">
        <f t="shared" si="23"/>
        <v>7</v>
      </c>
      <c r="C194" s="465">
        <f t="shared" si="24"/>
        <v>7</v>
      </c>
      <c r="D194" s="465" t="str">
        <f t="shared" si="25"/>
        <v>Festivo</v>
      </c>
      <c r="E194" s="626"/>
      <c r="F194" s="626"/>
      <c r="G194" s="626"/>
      <c r="H194" s="626"/>
      <c r="I194" s="626"/>
      <c r="J194" s="626"/>
      <c r="K194" s="626"/>
      <c r="L194" s="626"/>
      <c r="M194" s="626"/>
      <c r="N194" s="626"/>
      <c r="O194" s="626"/>
      <c r="P194" s="626"/>
      <c r="Q194" s="626"/>
      <c r="R194" s="626"/>
      <c r="S194" s="626"/>
      <c r="T194" s="618">
        <f t="shared" si="26"/>
        <v>0</v>
      </c>
    </row>
    <row r="195" spans="1:20">
      <c r="A195" s="617">
        <f t="shared" si="27"/>
        <v>44389</v>
      </c>
      <c r="B195" s="629">
        <f t="shared" si="23"/>
        <v>7</v>
      </c>
      <c r="C195" s="465">
        <f t="shared" si="24"/>
        <v>1</v>
      </c>
      <c r="D195" s="465" t="str">
        <f t="shared" si="25"/>
        <v>Laboral</v>
      </c>
      <c r="E195" s="626"/>
      <c r="F195" s="626"/>
      <c r="G195" s="626"/>
      <c r="H195" s="626"/>
      <c r="I195" s="626"/>
      <c r="J195" s="626"/>
      <c r="K195" s="626"/>
      <c r="L195" s="626"/>
      <c r="M195" s="626"/>
      <c r="N195" s="626"/>
      <c r="O195" s="626"/>
      <c r="P195" s="626"/>
      <c r="Q195" s="626"/>
      <c r="R195" s="626"/>
      <c r="S195" s="626"/>
      <c r="T195" s="618">
        <f t="shared" si="26"/>
        <v>0</v>
      </c>
    </row>
    <row r="196" spans="1:20">
      <c r="A196" s="617">
        <f t="shared" si="27"/>
        <v>44390</v>
      </c>
      <c r="B196" s="629">
        <f t="shared" ref="B196:B259" si="28">MONTH(A196)</f>
        <v>7</v>
      </c>
      <c r="C196" s="465">
        <f t="shared" ref="C196:C259" si="29">WEEKDAY(A196,2)</f>
        <v>2</v>
      </c>
      <c r="D196" s="465" t="str">
        <f t="shared" ref="D196:D259" si="30">IF(OR(C196=$X$4,C196=$X$3,A196=$W$6,A196=$W$7,A196=$W$8,A196=$W$9,A196=$W$10,A196=$W$11,A196=$W$12,A196=$W$13,A196=$W$14,A196=$W$15,A196=$W$16,A196=$W$17,A196=$W$18,A196=$W$19,A196=$W$20),"Festivo","Laboral")</f>
        <v>Laboral</v>
      </c>
      <c r="E196" s="626"/>
      <c r="F196" s="626"/>
      <c r="G196" s="626"/>
      <c r="H196" s="626"/>
      <c r="I196" s="626"/>
      <c r="J196" s="626"/>
      <c r="K196" s="626"/>
      <c r="L196" s="626"/>
      <c r="M196" s="626"/>
      <c r="N196" s="626"/>
      <c r="O196" s="626"/>
      <c r="P196" s="626"/>
      <c r="Q196" s="626"/>
      <c r="R196" s="626"/>
      <c r="S196" s="626"/>
      <c r="T196" s="618">
        <f t="shared" ref="T196:T259" si="31">SUMPRODUCT(E196:S196,E$1:S$1)</f>
        <v>0</v>
      </c>
    </row>
    <row r="197" spans="1:20">
      <c r="A197" s="617">
        <f t="shared" ref="A197:A260" si="32">+A196+1</f>
        <v>44391</v>
      </c>
      <c r="B197" s="629">
        <f t="shared" si="28"/>
        <v>7</v>
      </c>
      <c r="C197" s="465">
        <f t="shared" si="29"/>
        <v>3</v>
      </c>
      <c r="D197" s="465" t="str">
        <f t="shared" si="30"/>
        <v>Laboral</v>
      </c>
      <c r="E197" s="626"/>
      <c r="F197" s="626"/>
      <c r="G197" s="626"/>
      <c r="H197" s="626"/>
      <c r="I197" s="626"/>
      <c r="J197" s="626"/>
      <c r="K197" s="626"/>
      <c r="L197" s="626"/>
      <c r="M197" s="626"/>
      <c r="N197" s="626"/>
      <c r="O197" s="626"/>
      <c r="P197" s="626"/>
      <c r="Q197" s="626"/>
      <c r="R197" s="626"/>
      <c r="S197" s="626"/>
      <c r="T197" s="618">
        <f t="shared" si="31"/>
        <v>0</v>
      </c>
    </row>
    <row r="198" spans="1:20">
      <c r="A198" s="617">
        <f t="shared" si="32"/>
        <v>44392</v>
      </c>
      <c r="B198" s="629">
        <f t="shared" si="28"/>
        <v>7</v>
      </c>
      <c r="C198" s="465">
        <f t="shared" si="29"/>
        <v>4</v>
      </c>
      <c r="D198" s="465" t="str">
        <f t="shared" si="30"/>
        <v>Laboral</v>
      </c>
      <c r="E198" s="626"/>
      <c r="F198" s="626"/>
      <c r="G198" s="626"/>
      <c r="H198" s="626"/>
      <c r="I198" s="626"/>
      <c r="J198" s="626"/>
      <c r="K198" s="626"/>
      <c r="L198" s="626"/>
      <c r="M198" s="626"/>
      <c r="N198" s="626"/>
      <c r="O198" s="626"/>
      <c r="P198" s="626"/>
      <c r="Q198" s="626"/>
      <c r="R198" s="626"/>
      <c r="S198" s="626"/>
      <c r="T198" s="618">
        <f t="shared" si="31"/>
        <v>0</v>
      </c>
    </row>
    <row r="199" spans="1:20">
      <c r="A199" s="617">
        <f t="shared" si="32"/>
        <v>44393</v>
      </c>
      <c r="B199" s="629">
        <f t="shared" si="28"/>
        <v>7</v>
      </c>
      <c r="C199" s="465">
        <f t="shared" si="29"/>
        <v>5</v>
      </c>
      <c r="D199" s="465" t="str">
        <f t="shared" si="30"/>
        <v>Laboral</v>
      </c>
      <c r="E199" s="626"/>
      <c r="F199" s="626"/>
      <c r="G199" s="626"/>
      <c r="H199" s="626"/>
      <c r="I199" s="626"/>
      <c r="J199" s="626"/>
      <c r="K199" s="626"/>
      <c r="L199" s="626"/>
      <c r="M199" s="626"/>
      <c r="N199" s="626"/>
      <c r="O199" s="626"/>
      <c r="P199" s="626"/>
      <c r="Q199" s="626"/>
      <c r="R199" s="626"/>
      <c r="S199" s="626"/>
      <c r="T199" s="618">
        <f t="shared" si="31"/>
        <v>0</v>
      </c>
    </row>
    <row r="200" spans="1:20">
      <c r="A200" s="617">
        <f t="shared" si="32"/>
        <v>44394</v>
      </c>
      <c r="B200" s="629">
        <f t="shared" si="28"/>
        <v>7</v>
      </c>
      <c r="C200" s="465">
        <f t="shared" si="29"/>
        <v>6</v>
      </c>
      <c r="D200" s="465" t="str">
        <f t="shared" si="30"/>
        <v>Festivo</v>
      </c>
      <c r="E200" s="626"/>
      <c r="F200" s="626"/>
      <c r="G200" s="626"/>
      <c r="H200" s="626"/>
      <c r="I200" s="626"/>
      <c r="J200" s="626"/>
      <c r="K200" s="626"/>
      <c r="L200" s="626"/>
      <c r="M200" s="626"/>
      <c r="N200" s="626"/>
      <c r="O200" s="626"/>
      <c r="P200" s="626"/>
      <c r="Q200" s="626"/>
      <c r="R200" s="626"/>
      <c r="S200" s="626"/>
      <c r="T200" s="618">
        <f t="shared" si="31"/>
        <v>0</v>
      </c>
    </row>
    <row r="201" spans="1:20">
      <c r="A201" s="617">
        <f t="shared" si="32"/>
        <v>44395</v>
      </c>
      <c r="B201" s="629">
        <f t="shared" si="28"/>
        <v>7</v>
      </c>
      <c r="C201" s="465">
        <f t="shared" si="29"/>
        <v>7</v>
      </c>
      <c r="D201" s="465" t="str">
        <f t="shared" si="30"/>
        <v>Festivo</v>
      </c>
      <c r="E201" s="626"/>
      <c r="F201" s="626"/>
      <c r="G201" s="626"/>
      <c r="H201" s="626"/>
      <c r="I201" s="626"/>
      <c r="J201" s="626"/>
      <c r="K201" s="626"/>
      <c r="L201" s="626"/>
      <c r="M201" s="626"/>
      <c r="N201" s="626"/>
      <c r="O201" s="626"/>
      <c r="P201" s="626"/>
      <c r="Q201" s="626"/>
      <c r="R201" s="626"/>
      <c r="S201" s="626"/>
      <c r="T201" s="618">
        <f t="shared" si="31"/>
        <v>0</v>
      </c>
    </row>
    <row r="202" spans="1:20">
      <c r="A202" s="617">
        <f t="shared" si="32"/>
        <v>44396</v>
      </c>
      <c r="B202" s="629">
        <f t="shared" si="28"/>
        <v>7</v>
      </c>
      <c r="C202" s="465">
        <f t="shared" si="29"/>
        <v>1</v>
      </c>
      <c r="D202" s="465" t="str">
        <f t="shared" si="30"/>
        <v>Laboral</v>
      </c>
      <c r="E202" s="626"/>
      <c r="F202" s="626"/>
      <c r="G202" s="626"/>
      <c r="H202" s="626"/>
      <c r="I202" s="626"/>
      <c r="J202" s="626"/>
      <c r="K202" s="626"/>
      <c r="L202" s="626"/>
      <c r="M202" s="626"/>
      <c r="N202" s="626"/>
      <c r="O202" s="626"/>
      <c r="P202" s="626"/>
      <c r="Q202" s="626"/>
      <c r="R202" s="626"/>
      <c r="S202" s="626"/>
      <c r="T202" s="618">
        <f t="shared" si="31"/>
        <v>0</v>
      </c>
    </row>
    <row r="203" spans="1:20">
      <c r="A203" s="617">
        <f t="shared" si="32"/>
        <v>44397</v>
      </c>
      <c r="B203" s="629">
        <f t="shared" si="28"/>
        <v>7</v>
      </c>
      <c r="C203" s="465">
        <f t="shared" si="29"/>
        <v>2</v>
      </c>
      <c r="D203" s="465" t="str">
        <f t="shared" si="30"/>
        <v>Laboral</v>
      </c>
      <c r="E203" s="626"/>
      <c r="F203" s="626"/>
      <c r="G203" s="626"/>
      <c r="H203" s="626"/>
      <c r="I203" s="626"/>
      <c r="J203" s="626"/>
      <c r="K203" s="626"/>
      <c r="L203" s="626"/>
      <c r="M203" s="626"/>
      <c r="N203" s="626"/>
      <c r="O203" s="626"/>
      <c r="P203" s="626"/>
      <c r="Q203" s="626"/>
      <c r="R203" s="626"/>
      <c r="S203" s="626"/>
      <c r="T203" s="618">
        <f t="shared" si="31"/>
        <v>0</v>
      </c>
    </row>
    <row r="204" spans="1:20">
      <c r="A204" s="617">
        <f t="shared" si="32"/>
        <v>44398</v>
      </c>
      <c r="B204" s="629">
        <f t="shared" si="28"/>
        <v>7</v>
      </c>
      <c r="C204" s="465">
        <f t="shared" si="29"/>
        <v>3</v>
      </c>
      <c r="D204" s="465" t="str">
        <f t="shared" si="30"/>
        <v>Laboral</v>
      </c>
      <c r="E204" s="626"/>
      <c r="F204" s="626"/>
      <c r="G204" s="626"/>
      <c r="H204" s="626"/>
      <c r="I204" s="626"/>
      <c r="J204" s="626"/>
      <c r="K204" s="626"/>
      <c r="L204" s="626"/>
      <c r="M204" s="626"/>
      <c r="N204" s="626"/>
      <c r="O204" s="626"/>
      <c r="P204" s="626"/>
      <c r="Q204" s="626"/>
      <c r="R204" s="626"/>
      <c r="S204" s="626"/>
      <c r="T204" s="618">
        <f t="shared" si="31"/>
        <v>0</v>
      </c>
    </row>
    <row r="205" spans="1:20">
      <c r="A205" s="617">
        <f t="shared" si="32"/>
        <v>44399</v>
      </c>
      <c r="B205" s="629">
        <f t="shared" si="28"/>
        <v>7</v>
      </c>
      <c r="C205" s="465">
        <f t="shared" si="29"/>
        <v>4</v>
      </c>
      <c r="D205" s="465" t="str">
        <f t="shared" si="30"/>
        <v>Laboral</v>
      </c>
      <c r="E205" s="626"/>
      <c r="F205" s="626"/>
      <c r="G205" s="626"/>
      <c r="H205" s="626"/>
      <c r="I205" s="626"/>
      <c r="J205" s="626"/>
      <c r="K205" s="626"/>
      <c r="L205" s="626"/>
      <c r="M205" s="626"/>
      <c r="N205" s="626"/>
      <c r="O205" s="626"/>
      <c r="P205" s="626"/>
      <c r="Q205" s="626"/>
      <c r="R205" s="626"/>
      <c r="S205" s="626"/>
      <c r="T205" s="618">
        <f t="shared" si="31"/>
        <v>0</v>
      </c>
    </row>
    <row r="206" spans="1:20">
      <c r="A206" s="617">
        <f t="shared" si="32"/>
        <v>44400</v>
      </c>
      <c r="B206" s="629">
        <f t="shared" si="28"/>
        <v>7</v>
      </c>
      <c r="C206" s="465">
        <f t="shared" si="29"/>
        <v>5</v>
      </c>
      <c r="D206" s="465" t="str">
        <f t="shared" si="30"/>
        <v>Laboral</v>
      </c>
      <c r="E206" s="626"/>
      <c r="F206" s="626"/>
      <c r="G206" s="626"/>
      <c r="H206" s="626"/>
      <c r="I206" s="626"/>
      <c r="J206" s="626"/>
      <c r="K206" s="626"/>
      <c r="L206" s="626"/>
      <c r="M206" s="626"/>
      <c r="N206" s="626"/>
      <c r="O206" s="626"/>
      <c r="P206" s="626"/>
      <c r="Q206" s="626"/>
      <c r="R206" s="626"/>
      <c r="S206" s="626"/>
      <c r="T206" s="618">
        <f t="shared" si="31"/>
        <v>0</v>
      </c>
    </row>
    <row r="207" spans="1:20">
      <c r="A207" s="617">
        <f t="shared" si="32"/>
        <v>44401</v>
      </c>
      <c r="B207" s="629">
        <f t="shared" si="28"/>
        <v>7</v>
      </c>
      <c r="C207" s="465">
        <f t="shared" si="29"/>
        <v>6</v>
      </c>
      <c r="D207" s="465" t="str">
        <f t="shared" si="30"/>
        <v>Festivo</v>
      </c>
      <c r="E207" s="626"/>
      <c r="F207" s="626"/>
      <c r="G207" s="626"/>
      <c r="H207" s="626"/>
      <c r="I207" s="626"/>
      <c r="J207" s="626"/>
      <c r="K207" s="626"/>
      <c r="L207" s="626"/>
      <c r="M207" s="626"/>
      <c r="N207" s="626"/>
      <c r="O207" s="626"/>
      <c r="P207" s="626"/>
      <c r="Q207" s="626"/>
      <c r="R207" s="626"/>
      <c r="S207" s="626"/>
      <c r="T207" s="618">
        <f t="shared" si="31"/>
        <v>0</v>
      </c>
    </row>
    <row r="208" spans="1:20">
      <c r="A208" s="617">
        <f t="shared" si="32"/>
        <v>44402</v>
      </c>
      <c r="B208" s="629">
        <f t="shared" si="28"/>
        <v>7</v>
      </c>
      <c r="C208" s="465">
        <f t="shared" si="29"/>
        <v>7</v>
      </c>
      <c r="D208" s="465" t="str">
        <f t="shared" si="30"/>
        <v>Festivo</v>
      </c>
      <c r="E208" s="626"/>
      <c r="F208" s="626"/>
      <c r="G208" s="626"/>
      <c r="H208" s="626"/>
      <c r="I208" s="626"/>
      <c r="J208" s="626"/>
      <c r="K208" s="626"/>
      <c r="L208" s="626"/>
      <c r="M208" s="626"/>
      <c r="N208" s="626"/>
      <c r="O208" s="626"/>
      <c r="P208" s="626"/>
      <c r="Q208" s="626"/>
      <c r="R208" s="626"/>
      <c r="S208" s="626"/>
      <c r="T208" s="618">
        <f t="shared" si="31"/>
        <v>0</v>
      </c>
    </row>
    <row r="209" spans="1:20">
      <c r="A209" s="617">
        <f t="shared" si="32"/>
        <v>44403</v>
      </c>
      <c r="B209" s="629">
        <f t="shared" si="28"/>
        <v>7</v>
      </c>
      <c r="C209" s="465">
        <f t="shared" si="29"/>
        <v>1</v>
      </c>
      <c r="D209" s="465" t="str">
        <f t="shared" si="30"/>
        <v>Laboral</v>
      </c>
      <c r="E209" s="626"/>
      <c r="F209" s="626"/>
      <c r="G209" s="626"/>
      <c r="H209" s="626"/>
      <c r="I209" s="626"/>
      <c r="J209" s="626"/>
      <c r="K209" s="626"/>
      <c r="L209" s="626"/>
      <c r="M209" s="626"/>
      <c r="N209" s="626"/>
      <c r="O209" s="626"/>
      <c r="P209" s="626"/>
      <c r="Q209" s="626"/>
      <c r="R209" s="626"/>
      <c r="S209" s="626"/>
      <c r="T209" s="618">
        <f t="shared" si="31"/>
        <v>0</v>
      </c>
    </row>
    <row r="210" spans="1:20">
      <c r="A210" s="617">
        <f t="shared" si="32"/>
        <v>44404</v>
      </c>
      <c r="B210" s="629">
        <f t="shared" si="28"/>
        <v>7</v>
      </c>
      <c r="C210" s="465">
        <f t="shared" si="29"/>
        <v>2</v>
      </c>
      <c r="D210" s="465" t="str">
        <f t="shared" si="30"/>
        <v>Laboral</v>
      </c>
      <c r="E210" s="626"/>
      <c r="F210" s="626"/>
      <c r="G210" s="626"/>
      <c r="H210" s="626"/>
      <c r="I210" s="626"/>
      <c r="J210" s="626"/>
      <c r="K210" s="626"/>
      <c r="L210" s="626"/>
      <c r="M210" s="626"/>
      <c r="N210" s="626"/>
      <c r="O210" s="626"/>
      <c r="P210" s="626"/>
      <c r="Q210" s="626"/>
      <c r="R210" s="626"/>
      <c r="S210" s="626"/>
      <c r="T210" s="618">
        <f t="shared" si="31"/>
        <v>0</v>
      </c>
    </row>
    <row r="211" spans="1:20">
      <c r="A211" s="617">
        <f t="shared" si="32"/>
        <v>44405</v>
      </c>
      <c r="B211" s="629">
        <f t="shared" si="28"/>
        <v>7</v>
      </c>
      <c r="C211" s="465">
        <f t="shared" si="29"/>
        <v>3</v>
      </c>
      <c r="D211" s="465" t="str">
        <f t="shared" si="30"/>
        <v>Laboral</v>
      </c>
      <c r="E211" s="626"/>
      <c r="F211" s="626"/>
      <c r="G211" s="626"/>
      <c r="H211" s="626"/>
      <c r="I211" s="626"/>
      <c r="J211" s="626"/>
      <c r="K211" s="626"/>
      <c r="L211" s="626"/>
      <c r="M211" s="626"/>
      <c r="N211" s="626"/>
      <c r="O211" s="626"/>
      <c r="P211" s="626"/>
      <c r="Q211" s="626"/>
      <c r="R211" s="626"/>
      <c r="S211" s="626"/>
      <c r="T211" s="618">
        <f t="shared" si="31"/>
        <v>0</v>
      </c>
    </row>
    <row r="212" spans="1:20">
      <c r="A212" s="617">
        <f t="shared" si="32"/>
        <v>44406</v>
      </c>
      <c r="B212" s="629">
        <f t="shared" si="28"/>
        <v>7</v>
      </c>
      <c r="C212" s="465">
        <f t="shared" si="29"/>
        <v>4</v>
      </c>
      <c r="D212" s="465" t="str">
        <f t="shared" si="30"/>
        <v>Laboral</v>
      </c>
      <c r="E212" s="626"/>
      <c r="F212" s="626"/>
      <c r="G212" s="626"/>
      <c r="H212" s="626"/>
      <c r="I212" s="626"/>
      <c r="J212" s="626"/>
      <c r="K212" s="626"/>
      <c r="L212" s="626"/>
      <c r="M212" s="626"/>
      <c r="N212" s="626"/>
      <c r="O212" s="626"/>
      <c r="P212" s="626"/>
      <c r="Q212" s="626"/>
      <c r="R212" s="626"/>
      <c r="S212" s="626"/>
      <c r="T212" s="618">
        <f t="shared" si="31"/>
        <v>0</v>
      </c>
    </row>
    <row r="213" spans="1:20">
      <c r="A213" s="617">
        <f t="shared" si="32"/>
        <v>44407</v>
      </c>
      <c r="B213" s="629">
        <f t="shared" si="28"/>
        <v>7</v>
      </c>
      <c r="C213" s="465">
        <f t="shared" si="29"/>
        <v>5</v>
      </c>
      <c r="D213" s="465" t="str">
        <f t="shared" si="30"/>
        <v>Laboral</v>
      </c>
      <c r="E213" s="626"/>
      <c r="F213" s="626"/>
      <c r="G213" s="626"/>
      <c r="H213" s="626"/>
      <c r="I213" s="626"/>
      <c r="J213" s="626"/>
      <c r="K213" s="626"/>
      <c r="L213" s="626"/>
      <c r="M213" s="626"/>
      <c r="N213" s="626"/>
      <c r="O213" s="626"/>
      <c r="P213" s="626"/>
      <c r="Q213" s="626"/>
      <c r="R213" s="626"/>
      <c r="S213" s="626"/>
      <c r="T213" s="618">
        <f t="shared" si="31"/>
        <v>0</v>
      </c>
    </row>
    <row r="214" spans="1:20">
      <c r="A214" s="617">
        <f t="shared" si="32"/>
        <v>44408</v>
      </c>
      <c r="B214" s="629">
        <f t="shared" si="28"/>
        <v>7</v>
      </c>
      <c r="C214" s="465">
        <f t="shared" si="29"/>
        <v>6</v>
      </c>
      <c r="D214" s="465" t="str">
        <f t="shared" si="30"/>
        <v>Festivo</v>
      </c>
      <c r="E214" s="626"/>
      <c r="F214" s="626"/>
      <c r="G214" s="626"/>
      <c r="H214" s="626"/>
      <c r="I214" s="626"/>
      <c r="J214" s="626"/>
      <c r="K214" s="626"/>
      <c r="L214" s="626"/>
      <c r="M214" s="626"/>
      <c r="N214" s="626"/>
      <c r="O214" s="626"/>
      <c r="P214" s="626"/>
      <c r="Q214" s="626"/>
      <c r="R214" s="626"/>
      <c r="S214" s="626"/>
      <c r="T214" s="618">
        <f t="shared" si="31"/>
        <v>0</v>
      </c>
    </row>
    <row r="215" spans="1:20">
      <c r="A215" s="617">
        <f t="shared" si="32"/>
        <v>44409</v>
      </c>
      <c r="B215" s="629">
        <f t="shared" si="28"/>
        <v>8</v>
      </c>
      <c r="C215" s="465">
        <f t="shared" si="29"/>
        <v>7</v>
      </c>
      <c r="D215" s="465" t="str">
        <f t="shared" si="30"/>
        <v>Festivo</v>
      </c>
      <c r="E215" s="626"/>
      <c r="F215" s="626"/>
      <c r="G215" s="626"/>
      <c r="H215" s="626"/>
      <c r="I215" s="626"/>
      <c r="J215" s="626"/>
      <c r="K215" s="626"/>
      <c r="L215" s="626"/>
      <c r="M215" s="626"/>
      <c r="N215" s="626"/>
      <c r="O215" s="626"/>
      <c r="P215" s="626"/>
      <c r="Q215" s="626"/>
      <c r="R215" s="626"/>
      <c r="S215" s="626"/>
      <c r="T215" s="618">
        <f t="shared" si="31"/>
        <v>0</v>
      </c>
    </row>
    <row r="216" spans="1:20">
      <c r="A216" s="617">
        <f t="shared" si="32"/>
        <v>44410</v>
      </c>
      <c r="B216" s="629">
        <f t="shared" si="28"/>
        <v>8</v>
      </c>
      <c r="C216" s="465">
        <f t="shared" si="29"/>
        <v>1</v>
      </c>
      <c r="D216" s="465" t="str">
        <f t="shared" si="30"/>
        <v>Laboral</v>
      </c>
      <c r="E216" s="626"/>
      <c r="F216" s="626"/>
      <c r="G216" s="626"/>
      <c r="H216" s="626"/>
      <c r="I216" s="626"/>
      <c r="J216" s="626"/>
      <c r="K216" s="626"/>
      <c r="L216" s="626"/>
      <c r="M216" s="626"/>
      <c r="N216" s="626"/>
      <c r="O216" s="626"/>
      <c r="P216" s="626"/>
      <c r="Q216" s="626"/>
      <c r="R216" s="626"/>
      <c r="S216" s="626"/>
      <c r="T216" s="618">
        <f t="shared" si="31"/>
        <v>0</v>
      </c>
    </row>
    <row r="217" spans="1:20">
      <c r="A217" s="617">
        <f t="shared" si="32"/>
        <v>44411</v>
      </c>
      <c r="B217" s="629">
        <f t="shared" si="28"/>
        <v>8</v>
      </c>
      <c r="C217" s="465">
        <f t="shared" si="29"/>
        <v>2</v>
      </c>
      <c r="D217" s="465" t="str">
        <f t="shared" si="30"/>
        <v>Laboral</v>
      </c>
      <c r="E217" s="626"/>
      <c r="F217" s="626"/>
      <c r="G217" s="626"/>
      <c r="H217" s="626"/>
      <c r="I217" s="626"/>
      <c r="J217" s="626"/>
      <c r="K217" s="626"/>
      <c r="L217" s="626"/>
      <c r="M217" s="626"/>
      <c r="N217" s="626"/>
      <c r="O217" s="626"/>
      <c r="P217" s="626"/>
      <c r="Q217" s="626"/>
      <c r="R217" s="626"/>
      <c r="S217" s="626"/>
      <c r="T217" s="618">
        <f t="shared" si="31"/>
        <v>0</v>
      </c>
    </row>
    <row r="218" spans="1:20">
      <c r="A218" s="617">
        <f t="shared" si="32"/>
        <v>44412</v>
      </c>
      <c r="B218" s="629">
        <f t="shared" si="28"/>
        <v>8</v>
      </c>
      <c r="C218" s="465">
        <f t="shared" si="29"/>
        <v>3</v>
      </c>
      <c r="D218" s="465" t="str">
        <f t="shared" si="30"/>
        <v>Laboral</v>
      </c>
      <c r="E218" s="626"/>
      <c r="F218" s="626"/>
      <c r="G218" s="626"/>
      <c r="H218" s="626"/>
      <c r="I218" s="626"/>
      <c r="J218" s="626"/>
      <c r="K218" s="626"/>
      <c r="L218" s="626"/>
      <c r="M218" s="626"/>
      <c r="N218" s="626"/>
      <c r="O218" s="626"/>
      <c r="P218" s="626"/>
      <c r="Q218" s="626"/>
      <c r="R218" s="626"/>
      <c r="S218" s="626"/>
      <c r="T218" s="618">
        <f t="shared" si="31"/>
        <v>0</v>
      </c>
    </row>
    <row r="219" spans="1:20">
      <c r="A219" s="617">
        <f t="shared" si="32"/>
        <v>44413</v>
      </c>
      <c r="B219" s="629">
        <f t="shared" si="28"/>
        <v>8</v>
      </c>
      <c r="C219" s="465">
        <f t="shared" si="29"/>
        <v>4</v>
      </c>
      <c r="D219" s="465" t="str">
        <f t="shared" si="30"/>
        <v>Laboral</v>
      </c>
      <c r="E219" s="626"/>
      <c r="F219" s="626"/>
      <c r="G219" s="626"/>
      <c r="H219" s="626"/>
      <c r="I219" s="626"/>
      <c r="J219" s="626"/>
      <c r="K219" s="626"/>
      <c r="L219" s="626"/>
      <c r="M219" s="626"/>
      <c r="N219" s="626"/>
      <c r="O219" s="626"/>
      <c r="P219" s="626"/>
      <c r="Q219" s="626"/>
      <c r="R219" s="626"/>
      <c r="S219" s="626"/>
      <c r="T219" s="618">
        <f t="shared" si="31"/>
        <v>0</v>
      </c>
    </row>
    <row r="220" spans="1:20">
      <c r="A220" s="617">
        <f t="shared" si="32"/>
        <v>44414</v>
      </c>
      <c r="B220" s="629">
        <f t="shared" si="28"/>
        <v>8</v>
      </c>
      <c r="C220" s="465">
        <f t="shared" si="29"/>
        <v>5</v>
      </c>
      <c r="D220" s="465" t="str">
        <f t="shared" si="30"/>
        <v>Laboral</v>
      </c>
      <c r="E220" s="626"/>
      <c r="F220" s="626"/>
      <c r="G220" s="626"/>
      <c r="H220" s="626"/>
      <c r="I220" s="626"/>
      <c r="J220" s="626"/>
      <c r="K220" s="626"/>
      <c r="L220" s="626"/>
      <c r="M220" s="626"/>
      <c r="N220" s="626"/>
      <c r="O220" s="626"/>
      <c r="P220" s="626"/>
      <c r="Q220" s="626"/>
      <c r="R220" s="626"/>
      <c r="S220" s="626"/>
      <c r="T220" s="618">
        <f t="shared" si="31"/>
        <v>0</v>
      </c>
    </row>
    <row r="221" spans="1:20">
      <c r="A221" s="617">
        <f t="shared" si="32"/>
        <v>44415</v>
      </c>
      <c r="B221" s="629">
        <f t="shared" si="28"/>
        <v>8</v>
      </c>
      <c r="C221" s="465">
        <f t="shared" si="29"/>
        <v>6</v>
      </c>
      <c r="D221" s="465" t="str">
        <f t="shared" si="30"/>
        <v>Festivo</v>
      </c>
      <c r="E221" s="626"/>
      <c r="F221" s="626"/>
      <c r="G221" s="626"/>
      <c r="H221" s="626"/>
      <c r="I221" s="626"/>
      <c r="J221" s="626"/>
      <c r="K221" s="626"/>
      <c r="L221" s="626"/>
      <c r="M221" s="626"/>
      <c r="N221" s="626"/>
      <c r="O221" s="626"/>
      <c r="P221" s="626"/>
      <c r="Q221" s="626"/>
      <c r="R221" s="626"/>
      <c r="S221" s="626"/>
      <c r="T221" s="618">
        <f t="shared" si="31"/>
        <v>0</v>
      </c>
    </row>
    <row r="222" spans="1:20">
      <c r="A222" s="617">
        <f t="shared" si="32"/>
        <v>44416</v>
      </c>
      <c r="B222" s="629">
        <f t="shared" si="28"/>
        <v>8</v>
      </c>
      <c r="C222" s="465">
        <f t="shared" si="29"/>
        <v>7</v>
      </c>
      <c r="D222" s="465" t="str">
        <f t="shared" si="30"/>
        <v>Festivo</v>
      </c>
      <c r="E222" s="626"/>
      <c r="F222" s="626"/>
      <c r="G222" s="626"/>
      <c r="H222" s="626"/>
      <c r="I222" s="626"/>
      <c r="J222" s="626"/>
      <c r="K222" s="626"/>
      <c r="L222" s="626"/>
      <c r="M222" s="626"/>
      <c r="N222" s="626"/>
      <c r="O222" s="626"/>
      <c r="P222" s="626"/>
      <c r="Q222" s="626"/>
      <c r="R222" s="626"/>
      <c r="S222" s="626"/>
      <c r="T222" s="618">
        <f t="shared" si="31"/>
        <v>0</v>
      </c>
    </row>
    <row r="223" spans="1:20">
      <c r="A223" s="617">
        <f t="shared" si="32"/>
        <v>44417</v>
      </c>
      <c r="B223" s="629">
        <f t="shared" si="28"/>
        <v>8</v>
      </c>
      <c r="C223" s="465">
        <f t="shared" si="29"/>
        <v>1</v>
      </c>
      <c r="D223" s="465" t="str">
        <f t="shared" si="30"/>
        <v>Laboral</v>
      </c>
      <c r="E223" s="626"/>
      <c r="F223" s="626"/>
      <c r="G223" s="626"/>
      <c r="H223" s="626"/>
      <c r="I223" s="626"/>
      <c r="J223" s="626"/>
      <c r="K223" s="626"/>
      <c r="L223" s="626"/>
      <c r="M223" s="626"/>
      <c r="N223" s="626"/>
      <c r="O223" s="626"/>
      <c r="P223" s="626"/>
      <c r="Q223" s="626"/>
      <c r="R223" s="626"/>
      <c r="S223" s="626"/>
      <c r="T223" s="618">
        <f t="shared" si="31"/>
        <v>0</v>
      </c>
    </row>
    <row r="224" spans="1:20">
      <c r="A224" s="617">
        <f t="shared" si="32"/>
        <v>44418</v>
      </c>
      <c r="B224" s="629">
        <f t="shared" si="28"/>
        <v>8</v>
      </c>
      <c r="C224" s="465">
        <f t="shared" si="29"/>
        <v>2</v>
      </c>
      <c r="D224" s="465" t="str">
        <f t="shared" si="30"/>
        <v>Laboral</v>
      </c>
      <c r="E224" s="626"/>
      <c r="F224" s="626"/>
      <c r="G224" s="626"/>
      <c r="H224" s="626"/>
      <c r="I224" s="626"/>
      <c r="J224" s="626"/>
      <c r="K224" s="626"/>
      <c r="L224" s="626"/>
      <c r="M224" s="626"/>
      <c r="N224" s="626"/>
      <c r="O224" s="626"/>
      <c r="P224" s="626"/>
      <c r="Q224" s="626"/>
      <c r="R224" s="626"/>
      <c r="S224" s="626"/>
      <c r="T224" s="618">
        <f t="shared" si="31"/>
        <v>0</v>
      </c>
    </row>
    <row r="225" spans="1:20">
      <c r="A225" s="617">
        <f t="shared" si="32"/>
        <v>44419</v>
      </c>
      <c r="B225" s="629">
        <f t="shared" si="28"/>
        <v>8</v>
      </c>
      <c r="C225" s="465">
        <f t="shared" si="29"/>
        <v>3</v>
      </c>
      <c r="D225" s="465" t="str">
        <f t="shared" si="30"/>
        <v>Laboral</v>
      </c>
      <c r="E225" s="626"/>
      <c r="F225" s="626"/>
      <c r="G225" s="626"/>
      <c r="H225" s="626"/>
      <c r="I225" s="626"/>
      <c r="J225" s="626"/>
      <c r="K225" s="626"/>
      <c r="L225" s="626"/>
      <c r="M225" s="626"/>
      <c r="N225" s="626"/>
      <c r="O225" s="626"/>
      <c r="P225" s="626"/>
      <c r="Q225" s="626"/>
      <c r="R225" s="626"/>
      <c r="S225" s="626"/>
      <c r="T225" s="618">
        <f t="shared" si="31"/>
        <v>0</v>
      </c>
    </row>
    <row r="226" spans="1:20">
      <c r="A226" s="617">
        <f t="shared" si="32"/>
        <v>44420</v>
      </c>
      <c r="B226" s="629">
        <f t="shared" si="28"/>
        <v>8</v>
      </c>
      <c r="C226" s="465">
        <f t="shared" si="29"/>
        <v>4</v>
      </c>
      <c r="D226" s="465" t="str">
        <f t="shared" si="30"/>
        <v>Laboral</v>
      </c>
      <c r="E226" s="626"/>
      <c r="F226" s="626"/>
      <c r="G226" s="626"/>
      <c r="H226" s="626"/>
      <c r="I226" s="626"/>
      <c r="J226" s="626"/>
      <c r="K226" s="626"/>
      <c r="L226" s="626"/>
      <c r="M226" s="626"/>
      <c r="N226" s="626"/>
      <c r="O226" s="626"/>
      <c r="P226" s="626"/>
      <c r="Q226" s="626"/>
      <c r="R226" s="626"/>
      <c r="S226" s="626"/>
      <c r="T226" s="618">
        <f t="shared" si="31"/>
        <v>0</v>
      </c>
    </row>
    <row r="227" spans="1:20">
      <c r="A227" s="617">
        <f t="shared" si="32"/>
        <v>44421</v>
      </c>
      <c r="B227" s="629">
        <f t="shared" si="28"/>
        <v>8</v>
      </c>
      <c r="C227" s="465">
        <f t="shared" si="29"/>
        <v>5</v>
      </c>
      <c r="D227" s="465" t="str">
        <f t="shared" si="30"/>
        <v>Laboral</v>
      </c>
      <c r="E227" s="626"/>
      <c r="F227" s="626"/>
      <c r="G227" s="626"/>
      <c r="H227" s="626"/>
      <c r="I227" s="626"/>
      <c r="J227" s="626"/>
      <c r="K227" s="626"/>
      <c r="L227" s="626"/>
      <c r="M227" s="626"/>
      <c r="N227" s="626"/>
      <c r="O227" s="626"/>
      <c r="P227" s="626"/>
      <c r="Q227" s="626"/>
      <c r="R227" s="626"/>
      <c r="S227" s="626"/>
      <c r="T227" s="618">
        <f t="shared" si="31"/>
        <v>0</v>
      </c>
    </row>
    <row r="228" spans="1:20">
      <c r="A228" s="617">
        <f t="shared" si="32"/>
        <v>44422</v>
      </c>
      <c r="B228" s="629">
        <f t="shared" si="28"/>
        <v>8</v>
      </c>
      <c r="C228" s="465">
        <f t="shared" si="29"/>
        <v>6</v>
      </c>
      <c r="D228" s="465" t="str">
        <f t="shared" si="30"/>
        <v>Festivo</v>
      </c>
      <c r="E228" s="626"/>
      <c r="F228" s="626"/>
      <c r="G228" s="626"/>
      <c r="H228" s="626"/>
      <c r="I228" s="626"/>
      <c r="J228" s="626"/>
      <c r="K228" s="626"/>
      <c r="L228" s="626"/>
      <c r="M228" s="626"/>
      <c r="N228" s="626"/>
      <c r="O228" s="626"/>
      <c r="P228" s="626"/>
      <c r="Q228" s="626"/>
      <c r="R228" s="626"/>
      <c r="S228" s="626"/>
      <c r="T228" s="618">
        <f t="shared" si="31"/>
        <v>0</v>
      </c>
    </row>
    <row r="229" spans="1:20">
      <c r="A229" s="617">
        <f t="shared" si="32"/>
        <v>44423</v>
      </c>
      <c r="B229" s="629">
        <f t="shared" si="28"/>
        <v>8</v>
      </c>
      <c r="C229" s="465">
        <f t="shared" si="29"/>
        <v>7</v>
      </c>
      <c r="D229" s="465" t="str">
        <f t="shared" si="30"/>
        <v>Festivo</v>
      </c>
      <c r="E229" s="626"/>
      <c r="F229" s="626"/>
      <c r="G229" s="626"/>
      <c r="H229" s="626"/>
      <c r="I229" s="626"/>
      <c r="J229" s="626"/>
      <c r="K229" s="626"/>
      <c r="L229" s="626"/>
      <c r="M229" s="626"/>
      <c r="N229" s="626"/>
      <c r="O229" s="626"/>
      <c r="P229" s="626"/>
      <c r="Q229" s="626"/>
      <c r="R229" s="626"/>
      <c r="S229" s="626"/>
      <c r="T229" s="618">
        <f t="shared" si="31"/>
        <v>0</v>
      </c>
    </row>
    <row r="230" spans="1:20">
      <c r="A230" s="617">
        <f t="shared" si="32"/>
        <v>44424</v>
      </c>
      <c r="B230" s="629">
        <f t="shared" si="28"/>
        <v>8</v>
      </c>
      <c r="C230" s="465">
        <f t="shared" si="29"/>
        <v>1</v>
      </c>
      <c r="D230" s="465" t="str">
        <f t="shared" si="30"/>
        <v>Laboral</v>
      </c>
      <c r="E230" s="626"/>
      <c r="F230" s="626"/>
      <c r="G230" s="626"/>
      <c r="H230" s="626"/>
      <c r="I230" s="626"/>
      <c r="J230" s="626"/>
      <c r="K230" s="626"/>
      <c r="L230" s="626"/>
      <c r="M230" s="626"/>
      <c r="N230" s="626"/>
      <c r="O230" s="626"/>
      <c r="P230" s="626"/>
      <c r="Q230" s="626"/>
      <c r="R230" s="626"/>
      <c r="S230" s="626"/>
      <c r="T230" s="618">
        <f t="shared" si="31"/>
        <v>0</v>
      </c>
    </row>
    <row r="231" spans="1:20">
      <c r="A231" s="617">
        <f t="shared" si="32"/>
        <v>44425</v>
      </c>
      <c r="B231" s="629">
        <f t="shared" si="28"/>
        <v>8</v>
      </c>
      <c r="C231" s="465">
        <f t="shared" si="29"/>
        <v>2</v>
      </c>
      <c r="D231" s="465" t="str">
        <f t="shared" si="30"/>
        <v>Laboral</v>
      </c>
      <c r="E231" s="626"/>
      <c r="F231" s="626"/>
      <c r="G231" s="626"/>
      <c r="H231" s="626"/>
      <c r="I231" s="626"/>
      <c r="J231" s="626"/>
      <c r="K231" s="626"/>
      <c r="L231" s="626"/>
      <c r="M231" s="626"/>
      <c r="N231" s="626"/>
      <c r="O231" s="626"/>
      <c r="P231" s="626"/>
      <c r="Q231" s="626"/>
      <c r="R231" s="626"/>
      <c r="S231" s="626"/>
      <c r="T231" s="618">
        <f t="shared" si="31"/>
        <v>0</v>
      </c>
    </row>
    <row r="232" spans="1:20">
      <c r="A232" s="617">
        <f t="shared" si="32"/>
        <v>44426</v>
      </c>
      <c r="B232" s="629">
        <f t="shared" si="28"/>
        <v>8</v>
      </c>
      <c r="C232" s="465">
        <f t="shared" si="29"/>
        <v>3</v>
      </c>
      <c r="D232" s="465" t="str">
        <f t="shared" si="30"/>
        <v>Laboral</v>
      </c>
      <c r="E232" s="626"/>
      <c r="F232" s="626"/>
      <c r="G232" s="626"/>
      <c r="H232" s="626"/>
      <c r="I232" s="626"/>
      <c r="J232" s="626"/>
      <c r="K232" s="626"/>
      <c r="L232" s="626"/>
      <c r="M232" s="626"/>
      <c r="N232" s="626"/>
      <c r="O232" s="626"/>
      <c r="P232" s="626"/>
      <c r="Q232" s="626"/>
      <c r="R232" s="626"/>
      <c r="S232" s="626"/>
      <c r="T232" s="618">
        <f t="shared" si="31"/>
        <v>0</v>
      </c>
    </row>
    <row r="233" spans="1:20">
      <c r="A233" s="617">
        <f t="shared" si="32"/>
        <v>44427</v>
      </c>
      <c r="B233" s="629">
        <f t="shared" si="28"/>
        <v>8</v>
      </c>
      <c r="C233" s="465">
        <f t="shared" si="29"/>
        <v>4</v>
      </c>
      <c r="D233" s="465" t="str">
        <f t="shared" si="30"/>
        <v>Laboral</v>
      </c>
      <c r="E233" s="626"/>
      <c r="F233" s="626"/>
      <c r="G233" s="626"/>
      <c r="H233" s="626"/>
      <c r="I233" s="626"/>
      <c r="J233" s="626"/>
      <c r="K233" s="626"/>
      <c r="L233" s="626"/>
      <c r="M233" s="626"/>
      <c r="N233" s="626"/>
      <c r="O233" s="626"/>
      <c r="P233" s="626"/>
      <c r="Q233" s="626"/>
      <c r="R233" s="626"/>
      <c r="S233" s="626"/>
      <c r="T233" s="618">
        <f t="shared" si="31"/>
        <v>0</v>
      </c>
    </row>
    <row r="234" spans="1:20">
      <c r="A234" s="617">
        <f t="shared" si="32"/>
        <v>44428</v>
      </c>
      <c r="B234" s="629">
        <f t="shared" si="28"/>
        <v>8</v>
      </c>
      <c r="C234" s="465">
        <f t="shared" si="29"/>
        <v>5</v>
      </c>
      <c r="D234" s="465" t="str">
        <f t="shared" si="30"/>
        <v>Laboral</v>
      </c>
      <c r="E234" s="626"/>
      <c r="F234" s="626"/>
      <c r="G234" s="626"/>
      <c r="H234" s="626"/>
      <c r="I234" s="626"/>
      <c r="J234" s="626"/>
      <c r="K234" s="626"/>
      <c r="L234" s="626"/>
      <c r="M234" s="626"/>
      <c r="N234" s="626"/>
      <c r="O234" s="626"/>
      <c r="P234" s="626"/>
      <c r="Q234" s="626"/>
      <c r="R234" s="626"/>
      <c r="S234" s="626"/>
      <c r="T234" s="618">
        <f t="shared" si="31"/>
        <v>0</v>
      </c>
    </row>
    <row r="235" spans="1:20">
      <c r="A235" s="617">
        <f t="shared" si="32"/>
        <v>44429</v>
      </c>
      <c r="B235" s="629">
        <f t="shared" si="28"/>
        <v>8</v>
      </c>
      <c r="C235" s="465">
        <f t="shared" si="29"/>
        <v>6</v>
      </c>
      <c r="D235" s="465" t="str">
        <f t="shared" si="30"/>
        <v>Festivo</v>
      </c>
      <c r="E235" s="626"/>
      <c r="F235" s="626"/>
      <c r="G235" s="626"/>
      <c r="H235" s="626"/>
      <c r="I235" s="626"/>
      <c r="J235" s="626"/>
      <c r="K235" s="626"/>
      <c r="L235" s="626"/>
      <c r="M235" s="626"/>
      <c r="N235" s="626"/>
      <c r="O235" s="626"/>
      <c r="P235" s="626"/>
      <c r="Q235" s="626"/>
      <c r="R235" s="626"/>
      <c r="S235" s="626"/>
      <c r="T235" s="618">
        <f t="shared" si="31"/>
        <v>0</v>
      </c>
    </row>
    <row r="236" spans="1:20">
      <c r="A236" s="617">
        <f t="shared" si="32"/>
        <v>44430</v>
      </c>
      <c r="B236" s="629">
        <f t="shared" si="28"/>
        <v>8</v>
      </c>
      <c r="C236" s="465">
        <f t="shared" si="29"/>
        <v>7</v>
      </c>
      <c r="D236" s="465" t="str">
        <f t="shared" si="30"/>
        <v>Festivo</v>
      </c>
      <c r="E236" s="626"/>
      <c r="F236" s="626"/>
      <c r="G236" s="626"/>
      <c r="H236" s="626"/>
      <c r="I236" s="626"/>
      <c r="J236" s="626"/>
      <c r="K236" s="626"/>
      <c r="L236" s="626"/>
      <c r="M236" s="626"/>
      <c r="N236" s="626"/>
      <c r="O236" s="626"/>
      <c r="P236" s="626"/>
      <c r="Q236" s="626"/>
      <c r="R236" s="626"/>
      <c r="S236" s="626"/>
      <c r="T236" s="618">
        <f t="shared" si="31"/>
        <v>0</v>
      </c>
    </row>
    <row r="237" spans="1:20">
      <c r="A237" s="617">
        <f t="shared" si="32"/>
        <v>44431</v>
      </c>
      <c r="B237" s="629">
        <f t="shared" si="28"/>
        <v>8</v>
      </c>
      <c r="C237" s="465">
        <f t="shared" si="29"/>
        <v>1</v>
      </c>
      <c r="D237" s="465" t="str">
        <f t="shared" si="30"/>
        <v>Laboral</v>
      </c>
      <c r="E237" s="626"/>
      <c r="F237" s="626"/>
      <c r="G237" s="626"/>
      <c r="H237" s="626"/>
      <c r="I237" s="626"/>
      <c r="J237" s="626"/>
      <c r="K237" s="626"/>
      <c r="L237" s="626"/>
      <c r="M237" s="626"/>
      <c r="N237" s="626"/>
      <c r="O237" s="626"/>
      <c r="P237" s="626"/>
      <c r="Q237" s="626"/>
      <c r="R237" s="626"/>
      <c r="S237" s="626"/>
      <c r="T237" s="618">
        <f t="shared" si="31"/>
        <v>0</v>
      </c>
    </row>
    <row r="238" spans="1:20">
      <c r="A238" s="617">
        <f t="shared" si="32"/>
        <v>44432</v>
      </c>
      <c r="B238" s="629">
        <f t="shared" si="28"/>
        <v>8</v>
      </c>
      <c r="C238" s="465">
        <f t="shared" si="29"/>
        <v>2</v>
      </c>
      <c r="D238" s="465" t="str">
        <f t="shared" si="30"/>
        <v>Laboral</v>
      </c>
      <c r="E238" s="626"/>
      <c r="F238" s="626"/>
      <c r="G238" s="626"/>
      <c r="H238" s="626"/>
      <c r="I238" s="626"/>
      <c r="J238" s="626"/>
      <c r="K238" s="626"/>
      <c r="L238" s="626"/>
      <c r="M238" s="626"/>
      <c r="N238" s="626"/>
      <c r="O238" s="626"/>
      <c r="P238" s="626"/>
      <c r="Q238" s="626"/>
      <c r="R238" s="626"/>
      <c r="S238" s="626"/>
      <c r="T238" s="618">
        <f t="shared" si="31"/>
        <v>0</v>
      </c>
    </row>
    <row r="239" spans="1:20">
      <c r="A239" s="617">
        <f t="shared" si="32"/>
        <v>44433</v>
      </c>
      <c r="B239" s="629">
        <f t="shared" si="28"/>
        <v>8</v>
      </c>
      <c r="C239" s="465">
        <f t="shared" si="29"/>
        <v>3</v>
      </c>
      <c r="D239" s="465" t="str">
        <f t="shared" si="30"/>
        <v>Laboral</v>
      </c>
      <c r="E239" s="626"/>
      <c r="F239" s="626"/>
      <c r="G239" s="626"/>
      <c r="H239" s="626"/>
      <c r="I239" s="626"/>
      <c r="J239" s="626"/>
      <c r="K239" s="626"/>
      <c r="L239" s="626"/>
      <c r="M239" s="626"/>
      <c r="N239" s="626"/>
      <c r="O239" s="626"/>
      <c r="P239" s="626"/>
      <c r="Q239" s="626"/>
      <c r="R239" s="626"/>
      <c r="S239" s="626"/>
      <c r="T239" s="618">
        <f t="shared" si="31"/>
        <v>0</v>
      </c>
    </row>
    <row r="240" spans="1:20">
      <c r="A240" s="617">
        <f t="shared" si="32"/>
        <v>44434</v>
      </c>
      <c r="B240" s="629">
        <f t="shared" si="28"/>
        <v>8</v>
      </c>
      <c r="C240" s="465">
        <f t="shared" si="29"/>
        <v>4</v>
      </c>
      <c r="D240" s="465" t="str">
        <f t="shared" si="30"/>
        <v>Laboral</v>
      </c>
      <c r="E240" s="626"/>
      <c r="F240" s="626"/>
      <c r="G240" s="626"/>
      <c r="H240" s="626"/>
      <c r="I240" s="626"/>
      <c r="J240" s="626"/>
      <c r="K240" s="626"/>
      <c r="L240" s="626"/>
      <c r="M240" s="626"/>
      <c r="N240" s="626"/>
      <c r="O240" s="626"/>
      <c r="P240" s="626"/>
      <c r="Q240" s="626"/>
      <c r="R240" s="626"/>
      <c r="S240" s="626"/>
      <c r="T240" s="618">
        <f t="shared" si="31"/>
        <v>0</v>
      </c>
    </row>
    <row r="241" spans="1:20">
      <c r="A241" s="617">
        <f t="shared" si="32"/>
        <v>44435</v>
      </c>
      <c r="B241" s="629">
        <f t="shared" si="28"/>
        <v>8</v>
      </c>
      <c r="C241" s="465">
        <f t="shared" si="29"/>
        <v>5</v>
      </c>
      <c r="D241" s="465" t="str">
        <f t="shared" si="30"/>
        <v>Laboral</v>
      </c>
      <c r="E241" s="626"/>
      <c r="F241" s="626"/>
      <c r="G241" s="626"/>
      <c r="H241" s="626"/>
      <c r="I241" s="626"/>
      <c r="J241" s="626"/>
      <c r="K241" s="626"/>
      <c r="L241" s="626"/>
      <c r="M241" s="626"/>
      <c r="N241" s="626"/>
      <c r="O241" s="626"/>
      <c r="P241" s="626"/>
      <c r="Q241" s="626"/>
      <c r="R241" s="626"/>
      <c r="S241" s="626"/>
      <c r="T241" s="618">
        <f t="shared" si="31"/>
        <v>0</v>
      </c>
    </row>
    <row r="242" spans="1:20">
      <c r="A242" s="617">
        <f t="shared" si="32"/>
        <v>44436</v>
      </c>
      <c r="B242" s="629">
        <f t="shared" si="28"/>
        <v>8</v>
      </c>
      <c r="C242" s="465">
        <f t="shared" si="29"/>
        <v>6</v>
      </c>
      <c r="D242" s="465" t="str">
        <f t="shared" si="30"/>
        <v>Festivo</v>
      </c>
      <c r="E242" s="626"/>
      <c r="F242" s="626"/>
      <c r="G242" s="626"/>
      <c r="H242" s="626"/>
      <c r="I242" s="626"/>
      <c r="J242" s="626"/>
      <c r="K242" s="626"/>
      <c r="L242" s="626"/>
      <c r="M242" s="626"/>
      <c r="N242" s="626"/>
      <c r="O242" s="626"/>
      <c r="P242" s="626"/>
      <c r="Q242" s="626"/>
      <c r="R242" s="626"/>
      <c r="S242" s="626"/>
      <c r="T242" s="618">
        <f t="shared" si="31"/>
        <v>0</v>
      </c>
    </row>
    <row r="243" spans="1:20">
      <c r="A243" s="617">
        <f t="shared" si="32"/>
        <v>44437</v>
      </c>
      <c r="B243" s="629">
        <f t="shared" si="28"/>
        <v>8</v>
      </c>
      <c r="C243" s="465">
        <f t="shared" si="29"/>
        <v>7</v>
      </c>
      <c r="D243" s="465" t="str">
        <f t="shared" si="30"/>
        <v>Festivo</v>
      </c>
      <c r="E243" s="626"/>
      <c r="F243" s="626"/>
      <c r="G243" s="626"/>
      <c r="H243" s="626"/>
      <c r="I243" s="626"/>
      <c r="J243" s="626"/>
      <c r="K243" s="626"/>
      <c r="L243" s="626"/>
      <c r="M243" s="626"/>
      <c r="N243" s="626"/>
      <c r="O243" s="626"/>
      <c r="P243" s="626"/>
      <c r="Q243" s="626"/>
      <c r="R243" s="626"/>
      <c r="S243" s="626"/>
      <c r="T243" s="618">
        <f t="shared" si="31"/>
        <v>0</v>
      </c>
    </row>
    <row r="244" spans="1:20">
      <c r="A244" s="617">
        <f t="shared" si="32"/>
        <v>44438</v>
      </c>
      <c r="B244" s="629">
        <f t="shared" si="28"/>
        <v>8</v>
      </c>
      <c r="C244" s="465">
        <f t="shared" si="29"/>
        <v>1</v>
      </c>
      <c r="D244" s="465" t="str">
        <f t="shared" si="30"/>
        <v>Laboral</v>
      </c>
      <c r="E244" s="626"/>
      <c r="F244" s="626"/>
      <c r="G244" s="626"/>
      <c r="H244" s="626"/>
      <c r="I244" s="626"/>
      <c r="J244" s="626"/>
      <c r="K244" s="626"/>
      <c r="L244" s="626"/>
      <c r="M244" s="626"/>
      <c r="N244" s="626"/>
      <c r="O244" s="626"/>
      <c r="P244" s="626"/>
      <c r="Q244" s="626"/>
      <c r="R244" s="626"/>
      <c r="S244" s="626"/>
      <c r="T244" s="618">
        <f t="shared" si="31"/>
        <v>0</v>
      </c>
    </row>
    <row r="245" spans="1:20">
      <c r="A245" s="617">
        <f t="shared" si="32"/>
        <v>44439</v>
      </c>
      <c r="B245" s="629">
        <f t="shared" si="28"/>
        <v>8</v>
      </c>
      <c r="C245" s="465">
        <f t="shared" si="29"/>
        <v>2</v>
      </c>
      <c r="D245" s="465" t="str">
        <f t="shared" si="30"/>
        <v>Laboral</v>
      </c>
      <c r="E245" s="626"/>
      <c r="F245" s="626"/>
      <c r="G245" s="626"/>
      <c r="H245" s="626"/>
      <c r="I245" s="626"/>
      <c r="J245" s="626"/>
      <c r="K245" s="626"/>
      <c r="L245" s="626"/>
      <c r="M245" s="626"/>
      <c r="N245" s="626"/>
      <c r="O245" s="626"/>
      <c r="P245" s="626"/>
      <c r="Q245" s="626"/>
      <c r="R245" s="626"/>
      <c r="S245" s="626"/>
      <c r="T245" s="618">
        <f t="shared" si="31"/>
        <v>0</v>
      </c>
    </row>
    <row r="246" spans="1:20">
      <c r="A246" s="617">
        <f t="shared" si="32"/>
        <v>44440</v>
      </c>
      <c r="B246" s="629">
        <f t="shared" si="28"/>
        <v>9</v>
      </c>
      <c r="C246" s="465">
        <f t="shared" si="29"/>
        <v>3</v>
      </c>
      <c r="D246" s="465" t="str">
        <f t="shared" si="30"/>
        <v>Laboral</v>
      </c>
      <c r="E246" s="626"/>
      <c r="F246" s="626"/>
      <c r="G246" s="626"/>
      <c r="H246" s="626"/>
      <c r="I246" s="626"/>
      <c r="J246" s="626"/>
      <c r="K246" s="626"/>
      <c r="L246" s="626"/>
      <c r="M246" s="626"/>
      <c r="N246" s="626"/>
      <c r="O246" s="626"/>
      <c r="P246" s="626"/>
      <c r="Q246" s="626"/>
      <c r="R246" s="626"/>
      <c r="S246" s="626"/>
      <c r="T246" s="618">
        <f t="shared" si="31"/>
        <v>0</v>
      </c>
    </row>
    <row r="247" spans="1:20">
      <c r="A247" s="617">
        <f t="shared" si="32"/>
        <v>44441</v>
      </c>
      <c r="B247" s="629">
        <f t="shared" si="28"/>
        <v>9</v>
      </c>
      <c r="C247" s="465">
        <f t="shared" si="29"/>
        <v>4</v>
      </c>
      <c r="D247" s="465" t="str">
        <f t="shared" si="30"/>
        <v>Laboral</v>
      </c>
      <c r="E247" s="626"/>
      <c r="F247" s="626"/>
      <c r="G247" s="626"/>
      <c r="H247" s="626"/>
      <c r="I247" s="626"/>
      <c r="J247" s="626"/>
      <c r="K247" s="626"/>
      <c r="L247" s="626"/>
      <c r="M247" s="626"/>
      <c r="N247" s="626"/>
      <c r="O247" s="626"/>
      <c r="P247" s="626"/>
      <c r="Q247" s="626"/>
      <c r="R247" s="626"/>
      <c r="S247" s="626"/>
      <c r="T247" s="618">
        <f t="shared" si="31"/>
        <v>0</v>
      </c>
    </row>
    <row r="248" spans="1:20">
      <c r="A248" s="617">
        <f t="shared" si="32"/>
        <v>44442</v>
      </c>
      <c r="B248" s="629">
        <f t="shared" si="28"/>
        <v>9</v>
      </c>
      <c r="C248" s="465">
        <f t="shared" si="29"/>
        <v>5</v>
      </c>
      <c r="D248" s="465" t="str">
        <f t="shared" si="30"/>
        <v>Laboral</v>
      </c>
      <c r="E248" s="626"/>
      <c r="F248" s="626"/>
      <c r="G248" s="626"/>
      <c r="H248" s="626"/>
      <c r="I248" s="626"/>
      <c r="J248" s="626"/>
      <c r="K248" s="626"/>
      <c r="L248" s="626"/>
      <c r="M248" s="626"/>
      <c r="N248" s="626"/>
      <c r="O248" s="626"/>
      <c r="P248" s="626"/>
      <c r="Q248" s="626"/>
      <c r="R248" s="626"/>
      <c r="S248" s="626"/>
      <c r="T248" s="618">
        <f t="shared" si="31"/>
        <v>0</v>
      </c>
    </row>
    <row r="249" spans="1:20">
      <c r="A249" s="617">
        <f t="shared" si="32"/>
        <v>44443</v>
      </c>
      <c r="B249" s="629">
        <f t="shared" si="28"/>
        <v>9</v>
      </c>
      <c r="C249" s="465">
        <f t="shared" si="29"/>
        <v>6</v>
      </c>
      <c r="D249" s="465" t="str">
        <f t="shared" si="30"/>
        <v>Festivo</v>
      </c>
      <c r="E249" s="626"/>
      <c r="F249" s="626"/>
      <c r="G249" s="626"/>
      <c r="H249" s="626"/>
      <c r="I249" s="626"/>
      <c r="J249" s="626"/>
      <c r="K249" s="626"/>
      <c r="L249" s="626"/>
      <c r="M249" s="626"/>
      <c r="N249" s="626"/>
      <c r="O249" s="626"/>
      <c r="P249" s="626"/>
      <c r="Q249" s="626"/>
      <c r="R249" s="626"/>
      <c r="S249" s="626"/>
      <c r="T249" s="618">
        <f t="shared" si="31"/>
        <v>0</v>
      </c>
    </row>
    <row r="250" spans="1:20">
      <c r="A250" s="617">
        <f t="shared" si="32"/>
        <v>44444</v>
      </c>
      <c r="B250" s="629">
        <f t="shared" si="28"/>
        <v>9</v>
      </c>
      <c r="C250" s="465">
        <f t="shared" si="29"/>
        <v>7</v>
      </c>
      <c r="D250" s="465" t="str">
        <f t="shared" si="30"/>
        <v>Festivo</v>
      </c>
      <c r="E250" s="626"/>
      <c r="F250" s="626"/>
      <c r="G250" s="626"/>
      <c r="H250" s="626"/>
      <c r="I250" s="626"/>
      <c r="J250" s="626"/>
      <c r="K250" s="626"/>
      <c r="L250" s="626"/>
      <c r="M250" s="626"/>
      <c r="N250" s="626"/>
      <c r="O250" s="626"/>
      <c r="P250" s="626"/>
      <c r="Q250" s="626"/>
      <c r="R250" s="626"/>
      <c r="S250" s="626"/>
      <c r="T250" s="618">
        <f t="shared" si="31"/>
        <v>0</v>
      </c>
    </row>
    <row r="251" spans="1:20">
      <c r="A251" s="617">
        <f t="shared" si="32"/>
        <v>44445</v>
      </c>
      <c r="B251" s="629">
        <f t="shared" si="28"/>
        <v>9</v>
      </c>
      <c r="C251" s="465">
        <f t="shared" si="29"/>
        <v>1</v>
      </c>
      <c r="D251" s="465" t="str">
        <f t="shared" si="30"/>
        <v>Laboral</v>
      </c>
      <c r="E251" s="626"/>
      <c r="F251" s="626"/>
      <c r="G251" s="626"/>
      <c r="H251" s="626"/>
      <c r="I251" s="626"/>
      <c r="J251" s="626"/>
      <c r="K251" s="626"/>
      <c r="L251" s="626"/>
      <c r="M251" s="626"/>
      <c r="N251" s="626"/>
      <c r="O251" s="626"/>
      <c r="P251" s="626"/>
      <c r="Q251" s="626"/>
      <c r="R251" s="626"/>
      <c r="S251" s="626"/>
      <c r="T251" s="618">
        <f t="shared" si="31"/>
        <v>0</v>
      </c>
    </row>
    <row r="252" spans="1:20">
      <c r="A252" s="617">
        <f t="shared" si="32"/>
        <v>44446</v>
      </c>
      <c r="B252" s="629">
        <f t="shared" si="28"/>
        <v>9</v>
      </c>
      <c r="C252" s="465">
        <f t="shared" si="29"/>
        <v>2</v>
      </c>
      <c r="D252" s="465" t="str">
        <f t="shared" si="30"/>
        <v>Laboral</v>
      </c>
      <c r="E252" s="626"/>
      <c r="F252" s="626"/>
      <c r="G252" s="626"/>
      <c r="H252" s="626"/>
      <c r="I252" s="626"/>
      <c r="J252" s="626"/>
      <c r="K252" s="626"/>
      <c r="L252" s="626"/>
      <c r="M252" s="626"/>
      <c r="N252" s="626"/>
      <c r="O252" s="626"/>
      <c r="P252" s="626"/>
      <c r="Q252" s="626"/>
      <c r="R252" s="626"/>
      <c r="S252" s="626"/>
      <c r="T252" s="618">
        <f t="shared" si="31"/>
        <v>0</v>
      </c>
    </row>
    <row r="253" spans="1:20">
      <c r="A253" s="617">
        <f t="shared" si="32"/>
        <v>44447</v>
      </c>
      <c r="B253" s="629">
        <f t="shared" si="28"/>
        <v>9</v>
      </c>
      <c r="C253" s="465">
        <f t="shared" si="29"/>
        <v>3</v>
      </c>
      <c r="D253" s="465" t="str">
        <f t="shared" si="30"/>
        <v>Laboral</v>
      </c>
      <c r="E253" s="626"/>
      <c r="F253" s="626"/>
      <c r="G253" s="626"/>
      <c r="H253" s="626"/>
      <c r="I253" s="626"/>
      <c r="J253" s="626"/>
      <c r="K253" s="626"/>
      <c r="L253" s="626"/>
      <c r="M253" s="626"/>
      <c r="N253" s="626"/>
      <c r="O253" s="626"/>
      <c r="P253" s="626"/>
      <c r="Q253" s="626"/>
      <c r="R253" s="626"/>
      <c r="S253" s="626"/>
      <c r="T253" s="618">
        <f t="shared" si="31"/>
        <v>0</v>
      </c>
    </row>
    <row r="254" spans="1:20">
      <c r="A254" s="617">
        <f t="shared" si="32"/>
        <v>44448</v>
      </c>
      <c r="B254" s="629">
        <f t="shared" si="28"/>
        <v>9</v>
      </c>
      <c r="C254" s="465">
        <f t="shared" si="29"/>
        <v>4</v>
      </c>
      <c r="D254" s="465" t="str">
        <f t="shared" si="30"/>
        <v>Laboral</v>
      </c>
      <c r="E254" s="626"/>
      <c r="F254" s="626"/>
      <c r="G254" s="626"/>
      <c r="H254" s="626"/>
      <c r="I254" s="626"/>
      <c r="J254" s="626"/>
      <c r="K254" s="626"/>
      <c r="L254" s="626"/>
      <c r="M254" s="626"/>
      <c r="N254" s="626"/>
      <c r="O254" s="626"/>
      <c r="P254" s="626"/>
      <c r="Q254" s="626"/>
      <c r="R254" s="626"/>
      <c r="S254" s="626"/>
      <c r="T254" s="618">
        <f t="shared" si="31"/>
        <v>0</v>
      </c>
    </row>
    <row r="255" spans="1:20">
      <c r="A255" s="617">
        <f t="shared" si="32"/>
        <v>44449</v>
      </c>
      <c r="B255" s="629">
        <f t="shared" si="28"/>
        <v>9</v>
      </c>
      <c r="C255" s="465">
        <f t="shared" si="29"/>
        <v>5</v>
      </c>
      <c r="D255" s="465" t="str">
        <f t="shared" si="30"/>
        <v>Laboral</v>
      </c>
      <c r="E255" s="626"/>
      <c r="F255" s="626"/>
      <c r="G255" s="626"/>
      <c r="H255" s="626"/>
      <c r="I255" s="626"/>
      <c r="J255" s="626"/>
      <c r="K255" s="626"/>
      <c r="L255" s="626"/>
      <c r="M255" s="626"/>
      <c r="N255" s="626"/>
      <c r="O255" s="626"/>
      <c r="P255" s="626"/>
      <c r="Q255" s="626"/>
      <c r="R255" s="626"/>
      <c r="S255" s="626"/>
      <c r="T255" s="618">
        <f t="shared" si="31"/>
        <v>0</v>
      </c>
    </row>
    <row r="256" spans="1:20">
      <c r="A256" s="617">
        <f t="shared" si="32"/>
        <v>44450</v>
      </c>
      <c r="B256" s="629">
        <f t="shared" si="28"/>
        <v>9</v>
      </c>
      <c r="C256" s="465">
        <f t="shared" si="29"/>
        <v>6</v>
      </c>
      <c r="D256" s="465" t="str">
        <f t="shared" si="30"/>
        <v>Festivo</v>
      </c>
      <c r="E256" s="626"/>
      <c r="F256" s="626"/>
      <c r="G256" s="626"/>
      <c r="H256" s="626"/>
      <c r="I256" s="626"/>
      <c r="J256" s="626"/>
      <c r="K256" s="626"/>
      <c r="L256" s="626"/>
      <c r="M256" s="626"/>
      <c r="N256" s="626"/>
      <c r="O256" s="626"/>
      <c r="P256" s="626"/>
      <c r="Q256" s="626"/>
      <c r="R256" s="626"/>
      <c r="S256" s="626"/>
      <c r="T256" s="618">
        <f t="shared" si="31"/>
        <v>0</v>
      </c>
    </row>
    <row r="257" spans="1:20">
      <c r="A257" s="617">
        <f t="shared" si="32"/>
        <v>44451</v>
      </c>
      <c r="B257" s="629">
        <f t="shared" si="28"/>
        <v>9</v>
      </c>
      <c r="C257" s="465">
        <f t="shared" si="29"/>
        <v>7</v>
      </c>
      <c r="D257" s="465" t="str">
        <f t="shared" si="30"/>
        <v>Festivo</v>
      </c>
      <c r="E257" s="626"/>
      <c r="F257" s="626"/>
      <c r="G257" s="626"/>
      <c r="H257" s="626"/>
      <c r="I257" s="626"/>
      <c r="J257" s="626"/>
      <c r="K257" s="626"/>
      <c r="L257" s="626"/>
      <c r="M257" s="626"/>
      <c r="N257" s="626"/>
      <c r="O257" s="626"/>
      <c r="P257" s="626"/>
      <c r="Q257" s="626"/>
      <c r="R257" s="626"/>
      <c r="S257" s="626"/>
      <c r="T257" s="618">
        <f t="shared" si="31"/>
        <v>0</v>
      </c>
    </row>
    <row r="258" spans="1:20">
      <c r="A258" s="617">
        <f t="shared" si="32"/>
        <v>44452</v>
      </c>
      <c r="B258" s="629">
        <f t="shared" si="28"/>
        <v>9</v>
      </c>
      <c r="C258" s="465">
        <f t="shared" si="29"/>
        <v>1</v>
      </c>
      <c r="D258" s="465" t="str">
        <f t="shared" si="30"/>
        <v>Laboral</v>
      </c>
      <c r="E258" s="626"/>
      <c r="F258" s="626"/>
      <c r="G258" s="626"/>
      <c r="H258" s="626"/>
      <c r="I258" s="626"/>
      <c r="J258" s="626"/>
      <c r="K258" s="626"/>
      <c r="L258" s="626"/>
      <c r="M258" s="626"/>
      <c r="N258" s="626"/>
      <c r="O258" s="626"/>
      <c r="P258" s="626"/>
      <c r="Q258" s="626"/>
      <c r="R258" s="626"/>
      <c r="S258" s="626"/>
      <c r="T258" s="618">
        <f t="shared" si="31"/>
        <v>0</v>
      </c>
    </row>
    <row r="259" spans="1:20">
      <c r="A259" s="617">
        <f t="shared" si="32"/>
        <v>44453</v>
      </c>
      <c r="B259" s="629">
        <f t="shared" si="28"/>
        <v>9</v>
      </c>
      <c r="C259" s="465">
        <f t="shared" si="29"/>
        <v>2</v>
      </c>
      <c r="D259" s="465" t="str">
        <f t="shared" si="30"/>
        <v>Laboral</v>
      </c>
      <c r="E259" s="626"/>
      <c r="F259" s="626"/>
      <c r="G259" s="626"/>
      <c r="H259" s="626"/>
      <c r="I259" s="626"/>
      <c r="J259" s="626"/>
      <c r="K259" s="626"/>
      <c r="L259" s="626"/>
      <c r="M259" s="626"/>
      <c r="N259" s="626"/>
      <c r="O259" s="626"/>
      <c r="P259" s="626"/>
      <c r="Q259" s="626"/>
      <c r="R259" s="626"/>
      <c r="S259" s="626"/>
      <c r="T259" s="618">
        <f t="shared" si="31"/>
        <v>0</v>
      </c>
    </row>
    <row r="260" spans="1:20">
      <c r="A260" s="617">
        <f t="shared" si="32"/>
        <v>44454</v>
      </c>
      <c r="B260" s="629">
        <f t="shared" ref="B260:B323" si="33">MONTH(A260)</f>
        <v>9</v>
      </c>
      <c r="C260" s="465">
        <f t="shared" ref="C260:C323" si="34">WEEKDAY(A260,2)</f>
        <v>3</v>
      </c>
      <c r="D260" s="465" t="str">
        <f t="shared" ref="D260:D323" si="35">IF(OR(C260=$X$4,C260=$X$3,A260=$W$6,A260=$W$7,A260=$W$8,A260=$W$9,A260=$W$10,A260=$W$11,A260=$W$12,A260=$W$13,A260=$W$14,A260=$W$15,A260=$W$16,A260=$W$17,A260=$W$18,A260=$W$19,A260=$W$20),"Festivo","Laboral")</f>
        <v>Laboral</v>
      </c>
      <c r="E260" s="626"/>
      <c r="F260" s="626"/>
      <c r="G260" s="626"/>
      <c r="H260" s="626"/>
      <c r="I260" s="626"/>
      <c r="J260" s="626"/>
      <c r="K260" s="626"/>
      <c r="L260" s="626"/>
      <c r="M260" s="626"/>
      <c r="N260" s="626"/>
      <c r="O260" s="626"/>
      <c r="P260" s="626"/>
      <c r="Q260" s="626"/>
      <c r="R260" s="626"/>
      <c r="S260" s="626"/>
      <c r="T260" s="618">
        <f t="shared" ref="T260:T323" si="36">SUMPRODUCT(E260:S260,E$1:S$1)</f>
        <v>0</v>
      </c>
    </row>
    <row r="261" spans="1:20">
      <c r="A261" s="617">
        <f t="shared" ref="A261:A324" si="37">+A260+1</f>
        <v>44455</v>
      </c>
      <c r="B261" s="629">
        <f t="shared" si="33"/>
        <v>9</v>
      </c>
      <c r="C261" s="465">
        <f t="shared" si="34"/>
        <v>4</v>
      </c>
      <c r="D261" s="465" t="str">
        <f t="shared" si="35"/>
        <v>Laboral</v>
      </c>
      <c r="E261" s="626"/>
      <c r="F261" s="626"/>
      <c r="G261" s="626"/>
      <c r="H261" s="626"/>
      <c r="I261" s="626"/>
      <c r="J261" s="626"/>
      <c r="K261" s="626"/>
      <c r="L261" s="626"/>
      <c r="M261" s="626"/>
      <c r="N261" s="626"/>
      <c r="O261" s="626"/>
      <c r="P261" s="626"/>
      <c r="Q261" s="626"/>
      <c r="R261" s="626"/>
      <c r="S261" s="626"/>
      <c r="T261" s="618">
        <f t="shared" si="36"/>
        <v>0</v>
      </c>
    </row>
    <row r="262" spans="1:20">
      <c r="A262" s="617">
        <f t="shared" si="37"/>
        <v>44456</v>
      </c>
      <c r="B262" s="629">
        <f t="shared" si="33"/>
        <v>9</v>
      </c>
      <c r="C262" s="465">
        <f t="shared" si="34"/>
        <v>5</v>
      </c>
      <c r="D262" s="465" t="str">
        <f t="shared" si="35"/>
        <v>Laboral</v>
      </c>
      <c r="E262" s="626"/>
      <c r="F262" s="626"/>
      <c r="G262" s="626"/>
      <c r="H262" s="626"/>
      <c r="I262" s="626"/>
      <c r="J262" s="626"/>
      <c r="K262" s="626"/>
      <c r="L262" s="626"/>
      <c r="M262" s="626"/>
      <c r="N262" s="626"/>
      <c r="O262" s="626"/>
      <c r="P262" s="626"/>
      <c r="Q262" s="626"/>
      <c r="R262" s="626"/>
      <c r="S262" s="626"/>
      <c r="T262" s="618">
        <f t="shared" si="36"/>
        <v>0</v>
      </c>
    </row>
    <row r="263" spans="1:20">
      <c r="A263" s="617">
        <f t="shared" si="37"/>
        <v>44457</v>
      </c>
      <c r="B263" s="629">
        <f t="shared" si="33"/>
        <v>9</v>
      </c>
      <c r="C263" s="465">
        <f t="shared" si="34"/>
        <v>6</v>
      </c>
      <c r="D263" s="465" t="str">
        <f t="shared" si="35"/>
        <v>Festivo</v>
      </c>
      <c r="E263" s="626"/>
      <c r="F263" s="626"/>
      <c r="G263" s="626"/>
      <c r="H263" s="626"/>
      <c r="I263" s="626"/>
      <c r="J263" s="626"/>
      <c r="K263" s="626"/>
      <c r="L263" s="626"/>
      <c r="M263" s="626"/>
      <c r="N263" s="626"/>
      <c r="O263" s="626"/>
      <c r="P263" s="626"/>
      <c r="Q263" s="626"/>
      <c r="R263" s="626"/>
      <c r="S263" s="626"/>
      <c r="T263" s="618">
        <f t="shared" si="36"/>
        <v>0</v>
      </c>
    </row>
    <row r="264" spans="1:20">
      <c r="A264" s="617">
        <f t="shared" si="37"/>
        <v>44458</v>
      </c>
      <c r="B264" s="629">
        <f t="shared" si="33"/>
        <v>9</v>
      </c>
      <c r="C264" s="465">
        <f t="shared" si="34"/>
        <v>7</v>
      </c>
      <c r="D264" s="465" t="str">
        <f t="shared" si="35"/>
        <v>Festivo</v>
      </c>
      <c r="E264" s="626"/>
      <c r="F264" s="626"/>
      <c r="G264" s="626"/>
      <c r="H264" s="626"/>
      <c r="I264" s="626"/>
      <c r="J264" s="626"/>
      <c r="K264" s="626"/>
      <c r="L264" s="626"/>
      <c r="M264" s="626"/>
      <c r="N264" s="626"/>
      <c r="O264" s="626"/>
      <c r="P264" s="626"/>
      <c r="Q264" s="626"/>
      <c r="R264" s="626"/>
      <c r="S264" s="626"/>
      <c r="T264" s="618">
        <f t="shared" si="36"/>
        <v>0</v>
      </c>
    </row>
    <row r="265" spans="1:20">
      <c r="A265" s="617">
        <f t="shared" si="37"/>
        <v>44459</v>
      </c>
      <c r="B265" s="629">
        <f t="shared" si="33"/>
        <v>9</v>
      </c>
      <c r="C265" s="465">
        <f t="shared" si="34"/>
        <v>1</v>
      </c>
      <c r="D265" s="465" t="str">
        <f t="shared" si="35"/>
        <v>Laboral</v>
      </c>
      <c r="E265" s="626"/>
      <c r="F265" s="626"/>
      <c r="G265" s="626"/>
      <c r="H265" s="626"/>
      <c r="I265" s="626"/>
      <c r="J265" s="626"/>
      <c r="K265" s="626"/>
      <c r="L265" s="626"/>
      <c r="M265" s="626"/>
      <c r="N265" s="626"/>
      <c r="O265" s="626"/>
      <c r="P265" s="626"/>
      <c r="Q265" s="626"/>
      <c r="R265" s="626"/>
      <c r="S265" s="626"/>
      <c r="T265" s="618">
        <f t="shared" si="36"/>
        <v>0</v>
      </c>
    </row>
    <row r="266" spans="1:20">
      <c r="A266" s="617">
        <f t="shared" si="37"/>
        <v>44460</v>
      </c>
      <c r="B266" s="629">
        <f t="shared" si="33"/>
        <v>9</v>
      </c>
      <c r="C266" s="465">
        <f t="shared" si="34"/>
        <v>2</v>
      </c>
      <c r="D266" s="465" t="str">
        <f t="shared" si="35"/>
        <v>Laboral</v>
      </c>
      <c r="E266" s="626"/>
      <c r="F266" s="626"/>
      <c r="G266" s="626"/>
      <c r="H266" s="626"/>
      <c r="I266" s="626"/>
      <c r="J266" s="626"/>
      <c r="K266" s="626"/>
      <c r="L266" s="626"/>
      <c r="M266" s="626"/>
      <c r="N266" s="626"/>
      <c r="O266" s="626"/>
      <c r="P266" s="626"/>
      <c r="Q266" s="626"/>
      <c r="R266" s="626"/>
      <c r="S266" s="626"/>
      <c r="T266" s="618">
        <f t="shared" si="36"/>
        <v>0</v>
      </c>
    </row>
    <row r="267" spans="1:20">
      <c r="A267" s="617">
        <f t="shared" si="37"/>
        <v>44461</v>
      </c>
      <c r="B267" s="629">
        <f t="shared" si="33"/>
        <v>9</v>
      </c>
      <c r="C267" s="465">
        <f t="shared" si="34"/>
        <v>3</v>
      </c>
      <c r="D267" s="465" t="str">
        <f t="shared" si="35"/>
        <v>Laboral</v>
      </c>
      <c r="E267" s="626"/>
      <c r="F267" s="626"/>
      <c r="G267" s="626"/>
      <c r="H267" s="626"/>
      <c r="I267" s="626"/>
      <c r="J267" s="626"/>
      <c r="K267" s="626"/>
      <c r="L267" s="626"/>
      <c r="M267" s="626"/>
      <c r="N267" s="626"/>
      <c r="O267" s="626"/>
      <c r="P267" s="626"/>
      <c r="Q267" s="626"/>
      <c r="R267" s="626"/>
      <c r="S267" s="626"/>
      <c r="T267" s="618">
        <f t="shared" si="36"/>
        <v>0</v>
      </c>
    </row>
    <row r="268" spans="1:20">
      <c r="A268" s="617">
        <f t="shared" si="37"/>
        <v>44462</v>
      </c>
      <c r="B268" s="629">
        <f t="shared" si="33"/>
        <v>9</v>
      </c>
      <c r="C268" s="465">
        <f t="shared" si="34"/>
        <v>4</v>
      </c>
      <c r="D268" s="465" t="str">
        <f t="shared" si="35"/>
        <v>Laboral</v>
      </c>
      <c r="E268" s="626"/>
      <c r="F268" s="626"/>
      <c r="G268" s="626"/>
      <c r="H268" s="626"/>
      <c r="I268" s="626"/>
      <c r="J268" s="626"/>
      <c r="K268" s="626"/>
      <c r="L268" s="626"/>
      <c r="M268" s="626"/>
      <c r="N268" s="626"/>
      <c r="O268" s="626"/>
      <c r="P268" s="626"/>
      <c r="Q268" s="626"/>
      <c r="R268" s="626"/>
      <c r="S268" s="626"/>
      <c r="T268" s="618">
        <f t="shared" si="36"/>
        <v>0</v>
      </c>
    </row>
    <row r="269" spans="1:20">
      <c r="A269" s="617">
        <f t="shared" si="37"/>
        <v>44463</v>
      </c>
      <c r="B269" s="629">
        <f t="shared" si="33"/>
        <v>9</v>
      </c>
      <c r="C269" s="465">
        <f t="shared" si="34"/>
        <v>5</v>
      </c>
      <c r="D269" s="465" t="str">
        <f t="shared" si="35"/>
        <v>Laboral</v>
      </c>
      <c r="E269" s="626"/>
      <c r="F269" s="626"/>
      <c r="G269" s="626"/>
      <c r="H269" s="626"/>
      <c r="I269" s="626"/>
      <c r="J269" s="626"/>
      <c r="K269" s="626"/>
      <c r="L269" s="626"/>
      <c r="M269" s="626"/>
      <c r="N269" s="626"/>
      <c r="O269" s="626"/>
      <c r="P269" s="626"/>
      <c r="Q269" s="626"/>
      <c r="R269" s="626"/>
      <c r="S269" s="626"/>
      <c r="T269" s="618">
        <f t="shared" si="36"/>
        <v>0</v>
      </c>
    </row>
    <row r="270" spans="1:20">
      <c r="A270" s="617">
        <f t="shared" si="37"/>
        <v>44464</v>
      </c>
      <c r="B270" s="629">
        <f t="shared" si="33"/>
        <v>9</v>
      </c>
      <c r="C270" s="465">
        <f t="shared" si="34"/>
        <v>6</v>
      </c>
      <c r="D270" s="465" t="str">
        <f t="shared" si="35"/>
        <v>Festivo</v>
      </c>
      <c r="E270" s="626"/>
      <c r="F270" s="626"/>
      <c r="G270" s="626"/>
      <c r="H270" s="626"/>
      <c r="I270" s="626"/>
      <c r="J270" s="626"/>
      <c r="K270" s="626"/>
      <c r="L270" s="626"/>
      <c r="M270" s="626"/>
      <c r="N270" s="626"/>
      <c r="O270" s="626"/>
      <c r="P270" s="626"/>
      <c r="Q270" s="626"/>
      <c r="R270" s="626"/>
      <c r="S270" s="626"/>
      <c r="T270" s="618">
        <f t="shared" si="36"/>
        <v>0</v>
      </c>
    </row>
    <row r="271" spans="1:20">
      <c r="A271" s="617">
        <f t="shared" si="37"/>
        <v>44465</v>
      </c>
      <c r="B271" s="629">
        <f t="shared" si="33"/>
        <v>9</v>
      </c>
      <c r="C271" s="465">
        <f t="shared" si="34"/>
        <v>7</v>
      </c>
      <c r="D271" s="465" t="str">
        <f t="shared" si="35"/>
        <v>Festivo</v>
      </c>
      <c r="E271" s="626"/>
      <c r="F271" s="626"/>
      <c r="G271" s="626"/>
      <c r="H271" s="626"/>
      <c r="I271" s="626"/>
      <c r="J271" s="626"/>
      <c r="K271" s="626"/>
      <c r="L271" s="626"/>
      <c r="M271" s="626"/>
      <c r="N271" s="626"/>
      <c r="O271" s="626"/>
      <c r="P271" s="626"/>
      <c r="Q271" s="626"/>
      <c r="R271" s="626"/>
      <c r="S271" s="626"/>
      <c r="T271" s="618">
        <f t="shared" si="36"/>
        <v>0</v>
      </c>
    </row>
    <row r="272" spans="1:20">
      <c r="A272" s="617">
        <f t="shared" si="37"/>
        <v>44466</v>
      </c>
      <c r="B272" s="629">
        <f t="shared" si="33"/>
        <v>9</v>
      </c>
      <c r="C272" s="465">
        <f t="shared" si="34"/>
        <v>1</v>
      </c>
      <c r="D272" s="465" t="str">
        <f t="shared" si="35"/>
        <v>Laboral</v>
      </c>
      <c r="E272" s="626"/>
      <c r="F272" s="626"/>
      <c r="G272" s="626"/>
      <c r="H272" s="626"/>
      <c r="I272" s="626"/>
      <c r="J272" s="626"/>
      <c r="K272" s="626"/>
      <c r="L272" s="626"/>
      <c r="M272" s="626"/>
      <c r="N272" s="626"/>
      <c r="O272" s="626"/>
      <c r="P272" s="626"/>
      <c r="Q272" s="626"/>
      <c r="R272" s="626"/>
      <c r="S272" s="626"/>
      <c r="T272" s="618">
        <f t="shared" si="36"/>
        <v>0</v>
      </c>
    </row>
    <row r="273" spans="1:20">
      <c r="A273" s="617">
        <f t="shared" si="37"/>
        <v>44467</v>
      </c>
      <c r="B273" s="629">
        <f t="shared" si="33"/>
        <v>9</v>
      </c>
      <c r="C273" s="465">
        <f t="shared" si="34"/>
        <v>2</v>
      </c>
      <c r="D273" s="465" t="str">
        <f t="shared" si="35"/>
        <v>Laboral</v>
      </c>
      <c r="E273" s="626"/>
      <c r="F273" s="626"/>
      <c r="G273" s="626"/>
      <c r="H273" s="626"/>
      <c r="I273" s="626"/>
      <c r="J273" s="626"/>
      <c r="K273" s="626"/>
      <c r="L273" s="626"/>
      <c r="M273" s="626"/>
      <c r="N273" s="626"/>
      <c r="O273" s="626"/>
      <c r="P273" s="626"/>
      <c r="Q273" s="626"/>
      <c r="R273" s="626"/>
      <c r="S273" s="626"/>
      <c r="T273" s="618">
        <f t="shared" si="36"/>
        <v>0</v>
      </c>
    </row>
    <row r="274" spans="1:20">
      <c r="A274" s="617">
        <f t="shared" si="37"/>
        <v>44468</v>
      </c>
      <c r="B274" s="629">
        <f t="shared" si="33"/>
        <v>9</v>
      </c>
      <c r="C274" s="465">
        <f t="shared" si="34"/>
        <v>3</v>
      </c>
      <c r="D274" s="465" t="str">
        <f t="shared" si="35"/>
        <v>Laboral</v>
      </c>
      <c r="E274" s="626"/>
      <c r="F274" s="626"/>
      <c r="G274" s="626"/>
      <c r="H274" s="626"/>
      <c r="I274" s="626"/>
      <c r="J274" s="626"/>
      <c r="K274" s="626"/>
      <c r="L274" s="626"/>
      <c r="M274" s="626"/>
      <c r="N274" s="626"/>
      <c r="O274" s="626"/>
      <c r="P274" s="626"/>
      <c r="Q274" s="626"/>
      <c r="R274" s="626"/>
      <c r="S274" s="626"/>
      <c r="T274" s="618">
        <f t="shared" si="36"/>
        <v>0</v>
      </c>
    </row>
    <row r="275" spans="1:20">
      <c r="A275" s="617">
        <f t="shared" si="37"/>
        <v>44469</v>
      </c>
      <c r="B275" s="629">
        <f t="shared" si="33"/>
        <v>9</v>
      </c>
      <c r="C275" s="465">
        <f t="shared" si="34"/>
        <v>4</v>
      </c>
      <c r="D275" s="465" t="str">
        <f t="shared" si="35"/>
        <v>Laboral</v>
      </c>
      <c r="E275" s="626"/>
      <c r="F275" s="626"/>
      <c r="G275" s="626"/>
      <c r="H275" s="626"/>
      <c r="I275" s="626"/>
      <c r="J275" s="626"/>
      <c r="K275" s="626"/>
      <c r="L275" s="626"/>
      <c r="M275" s="626"/>
      <c r="N275" s="626"/>
      <c r="O275" s="626"/>
      <c r="P275" s="626"/>
      <c r="Q275" s="626"/>
      <c r="R275" s="626"/>
      <c r="S275" s="626"/>
      <c r="T275" s="618">
        <f t="shared" si="36"/>
        <v>0</v>
      </c>
    </row>
    <row r="276" spans="1:20">
      <c r="A276" s="617">
        <f t="shared" si="37"/>
        <v>44470</v>
      </c>
      <c r="B276" s="629">
        <f t="shared" si="33"/>
        <v>10</v>
      </c>
      <c r="C276" s="465">
        <f t="shared" si="34"/>
        <v>5</v>
      </c>
      <c r="D276" s="465" t="str">
        <f t="shared" si="35"/>
        <v>Laboral</v>
      </c>
      <c r="E276" s="626"/>
      <c r="F276" s="626"/>
      <c r="G276" s="626"/>
      <c r="H276" s="626"/>
      <c r="I276" s="626"/>
      <c r="J276" s="626"/>
      <c r="K276" s="626"/>
      <c r="L276" s="626"/>
      <c r="M276" s="626"/>
      <c r="N276" s="626"/>
      <c r="O276" s="626"/>
      <c r="P276" s="626"/>
      <c r="Q276" s="626"/>
      <c r="R276" s="626"/>
      <c r="S276" s="626"/>
      <c r="T276" s="618">
        <f t="shared" si="36"/>
        <v>0</v>
      </c>
    </row>
    <row r="277" spans="1:20">
      <c r="A277" s="617">
        <f t="shared" si="37"/>
        <v>44471</v>
      </c>
      <c r="B277" s="629">
        <f t="shared" si="33"/>
        <v>10</v>
      </c>
      <c r="C277" s="465">
        <f t="shared" si="34"/>
        <v>6</v>
      </c>
      <c r="D277" s="465" t="str">
        <f t="shared" si="35"/>
        <v>Festivo</v>
      </c>
      <c r="E277" s="626"/>
      <c r="F277" s="626"/>
      <c r="G277" s="626"/>
      <c r="H277" s="626"/>
      <c r="I277" s="626"/>
      <c r="J277" s="626"/>
      <c r="K277" s="626"/>
      <c r="L277" s="626"/>
      <c r="M277" s="626"/>
      <c r="N277" s="626"/>
      <c r="O277" s="626"/>
      <c r="P277" s="626"/>
      <c r="Q277" s="626"/>
      <c r="R277" s="626"/>
      <c r="S277" s="626"/>
      <c r="T277" s="618">
        <f t="shared" si="36"/>
        <v>0</v>
      </c>
    </row>
    <row r="278" spans="1:20">
      <c r="A278" s="617">
        <f t="shared" si="37"/>
        <v>44472</v>
      </c>
      <c r="B278" s="629">
        <f t="shared" si="33"/>
        <v>10</v>
      </c>
      <c r="C278" s="465">
        <f t="shared" si="34"/>
        <v>7</v>
      </c>
      <c r="D278" s="465" t="str">
        <f t="shared" si="35"/>
        <v>Festivo</v>
      </c>
      <c r="E278" s="626"/>
      <c r="F278" s="626"/>
      <c r="G278" s="626"/>
      <c r="H278" s="626"/>
      <c r="I278" s="626"/>
      <c r="J278" s="626"/>
      <c r="K278" s="626"/>
      <c r="L278" s="626"/>
      <c r="M278" s="626"/>
      <c r="N278" s="626"/>
      <c r="O278" s="626"/>
      <c r="P278" s="626"/>
      <c r="Q278" s="626"/>
      <c r="R278" s="626"/>
      <c r="S278" s="626"/>
      <c r="T278" s="618">
        <f t="shared" si="36"/>
        <v>0</v>
      </c>
    </row>
    <row r="279" spans="1:20">
      <c r="A279" s="617">
        <f t="shared" si="37"/>
        <v>44473</v>
      </c>
      <c r="B279" s="629">
        <f t="shared" si="33"/>
        <v>10</v>
      </c>
      <c r="C279" s="465">
        <f t="shared" si="34"/>
        <v>1</v>
      </c>
      <c r="D279" s="465" t="str">
        <f t="shared" si="35"/>
        <v>Laboral</v>
      </c>
      <c r="E279" s="626"/>
      <c r="F279" s="626"/>
      <c r="G279" s="626"/>
      <c r="H279" s="626"/>
      <c r="I279" s="626"/>
      <c r="J279" s="626"/>
      <c r="K279" s="626"/>
      <c r="L279" s="626"/>
      <c r="M279" s="626"/>
      <c r="N279" s="626"/>
      <c r="O279" s="626"/>
      <c r="P279" s="626"/>
      <c r="Q279" s="626"/>
      <c r="R279" s="626"/>
      <c r="S279" s="626"/>
      <c r="T279" s="618">
        <f t="shared" si="36"/>
        <v>0</v>
      </c>
    </row>
    <row r="280" spans="1:20">
      <c r="A280" s="617">
        <f t="shared" si="37"/>
        <v>44474</v>
      </c>
      <c r="B280" s="629">
        <f t="shared" si="33"/>
        <v>10</v>
      </c>
      <c r="C280" s="465">
        <f t="shared" si="34"/>
        <v>2</v>
      </c>
      <c r="D280" s="465" t="str">
        <f t="shared" si="35"/>
        <v>Laboral</v>
      </c>
      <c r="E280" s="626"/>
      <c r="F280" s="626"/>
      <c r="G280" s="626"/>
      <c r="H280" s="626"/>
      <c r="I280" s="626"/>
      <c r="J280" s="626"/>
      <c r="K280" s="626"/>
      <c r="L280" s="626"/>
      <c r="M280" s="626"/>
      <c r="N280" s="626"/>
      <c r="O280" s="626"/>
      <c r="P280" s="626"/>
      <c r="Q280" s="626"/>
      <c r="R280" s="626"/>
      <c r="S280" s="626"/>
      <c r="T280" s="618">
        <f t="shared" si="36"/>
        <v>0</v>
      </c>
    </row>
    <row r="281" spans="1:20">
      <c r="A281" s="617">
        <f t="shared" si="37"/>
        <v>44475</v>
      </c>
      <c r="B281" s="629">
        <f t="shared" si="33"/>
        <v>10</v>
      </c>
      <c r="C281" s="465">
        <f t="shared" si="34"/>
        <v>3</v>
      </c>
      <c r="D281" s="465" t="str">
        <f t="shared" si="35"/>
        <v>Laboral</v>
      </c>
      <c r="E281" s="626"/>
      <c r="F281" s="626"/>
      <c r="G281" s="626"/>
      <c r="H281" s="626"/>
      <c r="I281" s="626"/>
      <c r="J281" s="626"/>
      <c r="K281" s="626"/>
      <c r="L281" s="626"/>
      <c r="M281" s="626"/>
      <c r="N281" s="626"/>
      <c r="O281" s="626"/>
      <c r="P281" s="626"/>
      <c r="Q281" s="626"/>
      <c r="R281" s="626"/>
      <c r="S281" s="626"/>
      <c r="T281" s="618">
        <f t="shared" si="36"/>
        <v>0</v>
      </c>
    </row>
    <row r="282" spans="1:20">
      <c r="A282" s="617">
        <f t="shared" si="37"/>
        <v>44476</v>
      </c>
      <c r="B282" s="629">
        <f t="shared" si="33"/>
        <v>10</v>
      </c>
      <c r="C282" s="465">
        <f t="shared" si="34"/>
        <v>4</v>
      </c>
      <c r="D282" s="465" t="str">
        <f t="shared" si="35"/>
        <v>Laboral</v>
      </c>
      <c r="E282" s="626"/>
      <c r="F282" s="626"/>
      <c r="G282" s="626"/>
      <c r="H282" s="626"/>
      <c r="I282" s="626"/>
      <c r="J282" s="626"/>
      <c r="K282" s="626"/>
      <c r="L282" s="626"/>
      <c r="M282" s="626"/>
      <c r="N282" s="626"/>
      <c r="O282" s="626"/>
      <c r="P282" s="626"/>
      <c r="Q282" s="626"/>
      <c r="R282" s="626"/>
      <c r="S282" s="626"/>
      <c r="T282" s="618">
        <f t="shared" si="36"/>
        <v>0</v>
      </c>
    </row>
    <row r="283" spans="1:20">
      <c r="A283" s="617">
        <f t="shared" si="37"/>
        <v>44477</v>
      </c>
      <c r="B283" s="629">
        <f t="shared" si="33"/>
        <v>10</v>
      </c>
      <c r="C283" s="465">
        <f t="shared" si="34"/>
        <v>5</v>
      </c>
      <c r="D283" s="465" t="str">
        <f t="shared" si="35"/>
        <v>Laboral</v>
      </c>
      <c r="E283" s="626"/>
      <c r="F283" s="626"/>
      <c r="G283" s="626"/>
      <c r="H283" s="626"/>
      <c r="I283" s="626"/>
      <c r="J283" s="626"/>
      <c r="K283" s="626"/>
      <c r="L283" s="626"/>
      <c r="M283" s="626"/>
      <c r="N283" s="626"/>
      <c r="O283" s="626"/>
      <c r="P283" s="626"/>
      <c r="Q283" s="626"/>
      <c r="R283" s="626"/>
      <c r="S283" s="626"/>
      <c r="T283" s="618">
        <f t="shared" si="36"/>
        <v>0</v>
      </c>
    </row>
    <row r="284" spans="1:20">
      <c r="A284" s="617">
        <f t="shared" si="37"/>
        <v>44478</v>
      </c>
      <c r="B284" s="629">
        <f t="shared" si="33"/>
        <v>10</v>
      </c>
      <c r="C284" s="465">
        <f t="shared" si="34"/>
        <v>6</v>
      </c>
      <c r="D284" s="465" t="str">
        <f t="shared" si="35"/>
        <v>Festivo</v>
      </c>
      <c r="E284" s="626"/>
      <c r="F284" s="626"/>
      <c r="G284" s="626"/>
      <c r="H284" s="626"/>
      <c r="I284" s="626"/>
      <c r="J284" s="626"/>
      <c r="K284" s="626"/>
      <c r="L284" s="626"/>
      <c r="M284" s="626"/>
      <c r="N284" s="626"/>
      <c r="O284" s="626"/>
      <c r="P284" s="626"/>
      <c r="Q284" s="626"/>
      <c r="R284" s="626"/>
      <c r="S284" s="626"/>
      <c r="T284" s="618">
        <f t="shared" si="36"/>
        <v>0</v>
      </c>
    </row>
    <row r="285" spans="1:20">
      <c r="A285" s="617">
        <f t="shared" si="37"/>
        <v>44479</v>
      </c>
      <c r="B285" s="629">
        <f t="shared" si="33"/>
        <v>10</v>
      </c>
      <c r="C285" s="465">
        <f t="shared" si="34"/>
        <v>7</v>
      </c>
      <c r="D285" s="465" t="str">
        <f t="shared" si="35"/>
        <v>Festivo</v>
      </c>
      <c r="E285" s="626"/>
      <c r="F285" s="626"/>
      <c r="G285" s="626"/>
      <c r="H285" s="626"/>
      <c r="I285" s="626"/>
      <c r="J285" s="626"/>
      <c r="K285" s="626"/>
      <c r="L285" s="626"/>
      <c r="M285" s="626"/>
      <c r="N285" s="626"/>
      <c r="O285" s="626"/>
      <c r="P285" s="626"/>
      <c r="Q285" s="626"/>
      <c r="R285" s="626"/>
      <c r="S285" s="626"/>
      <c r="T285" s="618">
        <f t="shared" si="36"/>
        <v>0</v>
      </c>
    </row>
    <row r="286" spans="1:20">
      <c r="A286" s="617">
        <f t="shared" si="37"/>
        <v>44480</v>
      </c>
      <c r="B286" s="629">
        <f t="shared" si="33"/>
        <v>10</v>
      </c>
      <c r="C286" s="465">
        <f t="shared" si="34"/>
        <v>1</v>
      </c>
      <c r="D286" s="465" t="str">
        <f t="shared" si="35"/>
        <v>Laboral</v>
      </c>
      <c r="E286" s="626"/>
      <c r="F286" s="626"/>
      <c r="G286" s="626"/>
      <c r="H286" s="626"/>
      <c r="I286" s="626"/>
      <c r="J286" s="626"/>
      <c r="K286" s="626"/>
      <c r="L286" s="626"/>
      <c r="M286" s="626"/>
      <c r="N286" s="626"/>
      <c r="O286" s="626"/>
      <c r="P286" s="626"/>
      <c r="Q286" s="626"/>
      <c r="R286" s="626"/>
      <c r="S286" s="626"/>
      <c r="T286" s="618">
        <f t="shared" si="36"/>
        <v>0</v>
      </c>
    </row>
    <row r="287" spans="1:20">
      <c r="A287" s="617">
        <f t="shared" si="37"/>
        <v>44481</v>
      </c>
      <c r="B287" s="629">
        <f t="shared" si="33"/>
        <v>10</v>
      </c>
      <c r="C287" s="465">
        <f t="shared" si="34"/>
        <v>2</v>
      </c>
      <c r="D287" s="465" t="str">
        <f t="shared" si="35"/>
        <v>Festivo</v>
      </c>
      <c r="E287" s="626"/>
      <c r="F287" s="626"/>
      <c r="G287" s="626"/>
      <c r="H287" s="626"/>
      <c r="I287" s="626"/>
      <c r="J287" s="626"/>
      <c r="K287" s="626"/>
      <c r="L287" s="626"/>
      <c r="M287" s="626"/>
      <c r="N287" s="626"/>
      <c r="O287" s="626"/>
      <c r="P287" s="626"/>
      <c r="Q287" s="626"/>
      <c r="R287" s="626"/>
      <c r="S287" s="626"/>
      <c r="T287" s="618">
        <f t="shared" si="36"/>
        <v>0</v>
      </c>
    </row>
    <row r="288" spans="1:20">
      <c r="A288" s="617">
        <f t="shared" si="37"/>
        <v>44482</v>
      </c>
      <c r="B288" s="629">
        <f t="shared" si="33"/>
        <v>10</v>
      </c>
      <c r="C288" s="465">
        <f t="shared" si="34"/>
        <v>3</v>
      </c>
      <c r="D288" s="465" t="str">
        <f t="shared" si="35"/>
        <v>Laboral</v>
      </c>
      <c r="E288" s="626"/>
      <c r="F288" s="626"/>
      <c r="G288" s="626"/>
      <c r="H288" s="626"/>
      <c r="I288" s="626"/>
      <c r="J288" s="626"/>
      <c r="K288" s="626"/>
      <c r="L288" s="626"/>
      <c r="M288" s="626"/>
      <c r="N288" s="626"/>
      <c r="O288" s="626"/>
      <c r="P288" s="626"/>
      <c r="Q288" s="626"/>
      <c r="R288" s="626"/>
      <c r="S288" s="626"/>
      <c r="T288" s="618">
        <f t="shared" si="36"/>
        <v>0</v>
      </c>
    </row>
    <row r="289" spans="1:20">
      <c r="A289" s="617">
        <f t="shared" si="37"/>
        <v>44483</v>
      </c>
      <c r="B289" s="629">
        <f t="shared" si="33"/>
        <v>10</v>
      </c>
      <c r="C289" s="465">
        <f t="shared" si="34"/>
        <v>4</v>
      </c>
      <c r="D289" s="465" t="str">
        <f t="shared" si="35"/>
        <v>Laboral</v>
      </c>
      <c r="E289" s="626"/>
      <c r="F289" s="626"/>
      <c r="G289" s="626"/>
      <c r="H289" s="626"/>
      <c r="I289" s="626"/>
      <c r="J289" s="626"/>
      <c r="K289" s="626"/>
      <c r="L289" s="626"/>
      <c r="M289" s="626"/>
      <c r="N289" s="626"/>
      <c r="O289" s="626"/>
      <c r="P289" s="626"/>
      <c r="Q289" s="626"/>
      <c r="R289" s="626"/>
      <c r="S289" s="626"/>
      <c r="T289" s="618">
        <f t="shared" si="36"/>
        <v>0</v>
      </c>
    </row>
    <row r="290" spans="1:20">
      <c r="A290" s="617">
        <f t="shared" si="37"/>
        <v>44484</v>
      </c>
      <c r="B290" s="629">
        <f t="shared" si="33"/>
        <v>10</v>
      </c>
      <c r="C290" s="465">
        <f t="shared" si="34"/>
        <v>5</v>
      </c>
      <c r="D290" s="465" t="str">
        <f t="shared" si="35"/>
        <v>Laboral</v>
      </c>
      <c r="E290" s="626"/>
      <c r="F290" s="626"/>
      <c r="G290" s="626"/>
      <c r="H290" s="626"/>
      <c r="I290" s="626"/>
      <c r="J290" s="626"/>
      <c r="K290" s="626"/>
      <c r="L290" s="626"/>
      <c r="M290" s="626"/>
      <c r="N290" s="626"/>
      <c r="O290" s="626"/>
      <c r="P290" s="626"/>
      <c r="Q290" s="626"/>
      <c r="R290" s="626"/>
      <c r="S290" s="626"/>
      <c r="T290" s="618">
        <f t="shared" si="36"/>
        <v>0</v>
      </c>
    </row>
    <row r="291" spans="1:20">
      <c r="A291" s="617">
        <f t="shared" si="37"/>
        <v>44485</v>
      </c>
      <c r="B291" s="629">
        <f t="shared" si="33"/>
        <v>10</v>
      </c>
      <c r="C291" s="465">
        <f t="shared" si="34"/>
        <v>6</v>
      </c>
      <c r="D291" s="465" t="str">
        <f t="shared" si="35"/>
        <v>Festivo</v>
      </c>
      <c r="E291" s="626"/>
      <c r="F291" s="626"/>
      <c r="G291" s="626"/>
      <c r="H291" s="626"/>
      <c r="I291" s="626"/>
      <c r="J291" s="626"/>
      <c r="K291" s="626"/>
      <c r="L291" s="626"/>
      <c r="M291" s="626"/>
      <c r="N291" s="626"/>
      <c r="O291" s="626"/>
      <c r="P291" s="626"/>
      <c r="Q291" s="626"/>
      <c r="R291" s="626"/>
      <c r="S291" s="626"/>
      <c r="T291" s="618">
        <f t="shared" si="36"/>
        <v>0</v>
      </c>
    </row>
    <row r="292" spans="1:20">
      <c r="A292" s="617">
        <f t="shared" si="37"/>
        <v>44486</v>
      </c>
      <c r="B292" s="629">
        <f t="shared" si="33"/>
        <v>10</v>
      </c>
      <c r="C292" s="465">
        <f t="shared" si="34"/>
        <v>7</v>
      </c>
      <c r="D292" s="465" t="str">
        <f t="shared" si="35"/>
        <v>Festivo</v>
      </c>
      <c r="E292" s="626"/>
      <c r="F292" s="626"/>
      <c r="G292" s="626"/>
      <c r="H292" s="626"/>
      <c r="I292" s="626"/>
      <c r="J292" s="626"/>
      <c r="K292" s="626"/>
      <c r="L292" s="626"/>
      <c r="M292" s="626"/>
      <c r="N292" s="626"/>
      <c r="O292" s="626"/>
      <c r="P292" s="626"/>
      <c r="Q292" s="626"/>
      <c r="R292" s="626"/>
      <c r="S292" s="626"/>
      <c r="T292" s="618">
        <f t="shared" si="36"/>
        <v>0</v>
      </c>
    </row>
    <row r="293" spans="1:20">
      <c r="A293" s="617">
        <f t="shared" si="37"/>
        <v>44487</v>
      </c>
      <c r="B293" s="629">
        <f t="shared" si="33"/>
        <v>10</v>
      </c>
      <c r="C293" s="465">
        <f t="shared" si="34"/>
        <v>1</v>
      </c>
      <c r="D293" s="465" t="str">
        <f t="shared" si="35"/>
        <v>Laboral</v>
      </c>
      <c r="E293" s="626"/>
      <c r="F293" s="626"/>
      <c r="G293" s="626"/>
      <c r="H293" s="626"/>
      <c r="I293" s="626"/>
      <c r="J293" s="626"/>
      <c r="K293" s="626"/>
      <c r="L293" s="626"/>
      <c r="M293" s="626"/>
      <c r="N293" s="626"/>
      <c r="O293" s="626"/>
      <c r="P293" s="626"/>
      <c r="Q293" s="626"/>
      <c r="R293" s="626"/>
      <c r="S293" s="626"/>
      <c r="T293" s="618">
        <f t="shared" si="36"/>
        <v>0</v>
      </c>
    </row>
    <row r="294" spans="1:20">
      <c r="A294" s="617">
        <f t="shared" si="37"/>
        <v>44488</v>
      </c>
      <c r="B294" s="629">
        <f t="shared" si="33"/>
        <v>10</v>
      </c>
      <c r="C294" s="465">
        <f t="shared" si="34"/>
        <v>2</v>
      </c>
      <c r="D294" s="465" t="str">
        <f t="shared" si="35"/>
        <v>Laboral</v>
      </c>
      <c r="E294" s="626"/>
      <c r="F294" s="626"/>
      <c r="G294" s="626"/>
      <c r="H294" s="626"/>
      <c r="I294" s="626"/>
      <c r="J294" s="626"/>
      <c r="K294" s="626"/>
      <c r="L294" s="626"/>
      <c r="M294" s="626"/>
      <c r="N294" s="626"/>
      <c r="O294" s="626"/>
      <c r="P294" s="626"/>
      <c r="Q294" s="626"/>
      <c r="R294" s="626"/>
      <c r="S294" s="626"/>
      <c r="T294" s="618">
        <f t="shared" si="36"/>
        <v>0</v>
      </c>
    </row>
    <row r="295" spans="1:20">
      <c r="A295" s="617">
        <f t="shared" si="37"/>
        <v>44489</v>
      </c>
      <c r="B295" s="629">
        <f t="shared" si="33"/>
        <v>10</v>
      </c>
      <c r="C295" s="465">
        <f t="shared" si="34"/>
        <v>3</v>
      </c>
      <c r="D295" s="465" t="str">
        <f t="shared" si="35"/>
        <v>Laboral</v>
      </c>
      <c r="E295" s="626"/>
      <c r="F295" s="626"/>
      <c r="G295" s="626"/>
      <c r="H295" s="626"/>
      <c r="I295" s="626"/>
      <c r="J295" s="626"/>
      <c r="K295" s="626"/>
      <c r="L295" s="626"/>
      <c r="M295" s="626"/>
      <c r="N295" s="626"/>
      <c r="O295" s="626"/>
      <c r="P295" s="626"/>
      <c r="Q295" s="626"/>
      <c r="R295" s="626"/>
      <c r="S295" s="626"/>
      <c r="T295" s="618">
        <f t="shared" si="36"/>
        <v>0</v>
      </c>
    </row>
    <row r="296" spans="1:20">
      <c r="A296" s="617">
        <f t="shared" si="37"/>
        <v>44490</v>
      </c>
      <c r="B296" s="629">
        <f t="shared" si="33"/>
        <v>10</v>
      </c>
      <c r="C296" s="465">
        <f t="shared" si="34"/>
        <v>4</v>
      </c>
      <c r="D296" s="465" t="str">
        <f t="shared" si="35"/>
        <v>Laboral</v>
      </c>
      <c r="E296" s="626"/>
      <c r="F296" s="626"/>
      <c r="G296" s="626"/>
      <c r="H296" s="626"/>
      <c r="I296" s="626"/>
      <c r="J296" s="626"/>
      <c r="K296" s="626"/>
      <c r="L296" s="626"/>
      <c r="M296" s="626"/>
      <c r="N296" s="626"/>
      <c r="O296" s="626"/>
      <c r="P296" s="626"/>
      <c r="Q296" s="626"/>
      <c r="R296" s="626"/>
      <c r="S296" s="626"/>
      <c r="T296" s="618">
        <f t="shared" si="36"/>
        <v>0</v>
      </c>
    </row>
    <row r="297" spans="1:20">
      <c r="A297" s="617">
        <f t="shared" si="37"/>
        <v>44491</v>
      </c>
      <c r="B297" s="629">
        <f t="shared" si="33"/>
        <v>10</v>
      </c>
      <c r="C297" s="465">
        <f t="shared" si="34"/>
        <v>5</v>
      </c>
      <c r="D297" s="465" t="str">
        <f t="shared" si="35"/>
        <v>Laboral</v>
      </c>
      <c r="E297" s="626"/>
      <c r="F297" s="626"/>
      <c r="G297" s="626"/>
      <c r="H297" s="626"/>
      <c r="I297" s="626"/>
      <c r="J297" s="626"/>
      <c r="K297" s="626"/>
      <c r="L297" s="626"/>
      <c r="M297" s="626"/>
      <c r="N297" s="626"/>
      <c r="O297" s="626"/>
      <c r="P297" s="626"/>
      <c r="Q297" s="626"/>
      <c r="R297" s="626"/>
      <c r="S297" s="626"/>
      <c r="T297" s="618">
        <f t="shared" si="36"/>
        <v>0</v>
      </c>
    </row>
    <row r="298" spans="1:20">
      <c r="A298" s="617">
        <f t="shared" si="37"/>
        <v>44492</v>
      </c>
      <c r="B298" s="629">
        <f t="shared" si="33"/>
        <v>10</v>
      </c>
      <c r="C298" s="465">
        <f t="shared" si="34"/>
        <v>6</v>
      </c>
      <c r="D298" s="465" t="str">
        <f t="shared" si="35"/>
        <v>Festivo</v>
      </c>
      <c r="E298" s="626"/>
      <c r="F298" s="626"/>
      <c r="G298" s="626"/>
      <c r="H298" s="626"/>
      <c r="I298" s="626"/>
      <c r="J298" s="626"/>
      <c r="K298" s="626"/>
      <c r="L298" s="626"/>
      <c r="M298" s="626"/>
      <c r="N298" s="626"/>
      <c r="O298" s="626"/>
      <c r="P298" s="626"/>
      <c r="Q298" s="626"/>
      <c r="R298" s="626"/>
      <c r="S298" s="626"/>
      <c r="T298" s="618">
        <f t="shared" si="36"/>
        <v>0</v>
      </c>
    </row>
    <row r="299" spans="1:20">
      <c r="A299" s="617">
        <f t="shared" si="37"/>
        <v>44493</v>
      </c>
      <c r="B299" s="629">
        <f t="shared" si="33"/>
        <v>10</v>
      </c>
      <c r="C299" s="465">
        <f t="shared" si="34"/>
        <v>7</v>
      </c>
      <c r="D299" s="465" t="str">
        <f t="shared" si="35"/>
        <v>Festivo</v>
      </c>
      <c r="E299" s="626"/>
      <c r="F299" s="626"/>
      <c r="G299" s="626"/>
      <c r="H299" s="626"/>
      <c r="I299" s="626"/>
      <c r="J299" s="626"/>
      <c r="K299" s="626"/>
      <c r="L299" s="626"/>
      <c r="M299" s="626"/>
      <c r="N299" s="626"/>
      <c r="O299" s="626"/>
      <c r="P299" s="626"/>
      <c r="Q299" s="626"/>
      <c r="R299" s="626"/>
      <c r="S299" s="626"/>
      <c r="T299" s="618">
        <f t="shared" si="36"/>
        <v>0</v>
      </c>
    </row>
    <row r="300" spans="1:20">
      <c r="A300" s="617">
        <f t="shared" si="37"/>
        <v>44494</v>
      </c>
      <c r="B300" s="629">
        <f t="shared" si="33"/>
        <v>10</v>
      </c>
      <c r="C300" s="465">
        <f t="shared" si="34"/>
        <v>1</v>
      </c>
      <c r="D300" s="465" t="str">
        <f t="shared" si="35"/>
        <v>Laboral</v>
      </c>
      <c r="E300" s="626"/>
      <c r="F300" s="626"/>
      <c r="G300" s="626"/>
      <c r="H300" s="626"/>
      <c r="I300" s="626"/>
      <c r="J300" s="626"/>
      <c r="K300" s="626"/>
      <c r="L300" s="626"/>
      <c r="M300" s="626"/>
      <c r="N300" s="626"/>
      <c r="O300" s="626"/>
      <c r="P300" s="626"/>
      <c r="Q300" s="626"/>
      <c r="R300" s="626"/>
      <c r="S300" s="626"/>
      <c r="T300" s="618">
        <f t="shared" si="36"/>
        <v>0</v>
      </c>
    </row>
    <row r="301" spans="1:20">
      <c r="A301" s="617">
        <f t="shared" si="37"/>
        <v>44495</v>
      </c>
      <c r="B301" s="629">
        <f t="shared" si="33"/>
        <v>10</v>
      </c>
      <c r="C301" s="465">
        <f t="shared" si="34"/>
        <v>2</v>
      </c>
      <c r="D301" s="465" t="str">
        <f t="shared" si="35"/>
        <v>Laboral</v>
      </c>
      <c r="E301" s="626"/>
      <c r="F301" s="626"/>
      <c r="G301" s="626"/>
      <c r="H301" s="626"/>
      <c r="I301" s="626"/>
      <c r="J301" s="626"/>
      <c r="K301" s="626"/>
      <c r="L301" s="626"/>
      <c r="M301" s="626"/>
      <c r="N301" s="626"/>
      <c r="O301" s="626"/>
      <c r="P301" s="626"/>
      <c r="Q301" s="626"/>
      <c r="R301" s="626"/>
      <c r="S301" s="626"/>
      <c r="T301" s="618">
        <f t="shared" si="36"/>
        <v>0</v>
      </c>
    </row>
    <row r="302" spans="1:20">
      <c r="A302" s="617">
        <f t="shared" si="37"/>
        <v>44496</v>
      </c>
      <c r="B302" s="629">
        <f t="shared" si="33"/>
        <v>10</v>
      </c>
      <c r="C302" s="465">
        <f t="shared" si="34"/>
        <v>3</v>
      </c>
      <c r="D302" s="465" t="str">
        <f t="shared" si="35"/>
        <v>Laboral</v>
      </c>
      <c r="E302" s="626"/>
      <c r="F302" s="626"/>
      <c r="G302" s="626"/>
      <c r="H302" s="626"/>
      <c r="I302" s="626"/>
      <c r="J302" s="626"/>
      <c r="K302" s="626"/>
      <c r="L302" s="626"/>
      <c r="M302" s="626"/>
      <c r="N302" s="626"/>
      <c r="O302" s="626"/>
      <c r="P302" s="626"/>
      <c r="Q302" s="626"/>
      <c r="R302" s="626"/>
      <c r="S302" s="626"/>
      <c r="T302" s="618">
        <f t="shared" si="36"/>
        <v>0</v>
      </c>
    </row>
    <row r="303" spans="1:20">
      <c r="A303" s="617">
        <f t="shared" si="37"/>
        <v>44497</v>
      </c>
      <c r="B303" s="629">
        <f t="shared" si="33"/>
        <v>10</v>
      </c>
      <c r="C303" s="465">
        <f t="shared" si="34"/>
        <v>4</v>
      </c>
      <c r="D303" s="465" t="str">
        <f t="shared" si="35"/>
        <v>Laboral</v>
      </c>
      <c r="E303" s="626"/>
      <c r="F303" s="626"/>
      <c r="G303" s="626"/>
      <c r="H303" s="626"/>
      <c r="I303" s="626"/>
      <c r="J303" s="626"/>
      <c r="K303" s="626"/>
      <c r="L303" s="626"/>
      <c r="M303" s="626"/>
      <c r="N303" s="626"/>
      <c r="O303" s="626"/>
      <c r="P303" s="626"/>
      <c r="Q303" s="626"/>
      <c r="R303" s="626"/>
      <c r="S303" s="626"/>
      <c r="T303" s="618">
        <f t="shared" si="36"/>
        <v>0</v>
      </c>
    </row>
    <row r="304" spans="1:20">
      <c r="A304" s="617">
        <f t="shared" si="37"/>
        <v>44498</v>
      </c>
      <c r="B304" s="629">
        <f t="shared" si="33"/>
        <v>10</v>
      </c>
      <c r="C304" s="465">
        <f t="shared" si="34"/>
        <v>5</v>
      </c>
      <c r="D304" s="465" t="str">
        <f t="shared" si="35"/>
        <v>Laboral</v>
      </c>
      <c r="E304" s="626"/>
      <c r="F304" s="626"/>
      <c r="G304" s="626"/>
      <c r="H304" s="626"/>
      <c r="I304" s="626"/>
      <c r="J304" s="626"/>
      <c r="K304" s="626"/>
      <c r="L304" s="626"/>
      <c r="M304" s="626"/>
      <c r="N304" s="626"/>
      <c r="O304" s="626"/>
      <c r="P304" s="626"/>
      <c r="Q304" s="626"/>
      <c r="R304" s="626"/>
      <c r="S304" s="626"/>
      <c r="T304" s="618">
        <f t="shared" si="36"/>
        <v>0</v>
      </c>
    </row>
    <row r="305" spans="1:20">
      <c r="A305" s="617">
        <f t="shared" si="37"/>
        <v>44499</v>
      </c>
      <c r="B305" s="629">
        <f t="shared" si="33"/>
        <v>10</v>
      </c>
      <c r="C305" s="465">
        <f t="shared" si="34"/>
        <v>6</v>
      </c>
      <c r="D305" s="465" t="str">
        <f t="shared" si="35"/>
        <v>Festivo</v>
      </c>
      <c r="E305" s="626"/>
      <c r="F305" s="626"/>
      <c r="G305" s="626"/>
      <c r="H305" s="626"/>
      <c r="I305" s="626"/>
      <c r="J305" s="626"/>
      <c r="K305" s="626"/>
      <c r="L305" s="626"/>
      <c r="M305" s="626"/>
      <c r="N305" s="626"/>
      <c r="O305" s="626"/>
      <c r="P305" s="626"/>
      <c r="Q305" s="626"/>
      <c r="R305" s="626"/>
      <c r="S305" s="626"/>
      <c r="T305" s="618">
        <f t="shared" si="36"/>
        <v>0</v>
      </c>
    </row>
    <row r="306" spans="1:20">
      <c r="A306" s="617">
        <f t="shared" si="37"/>
        <v>44500</v>
      </c>
      <c r="B306" s="629">
        <f t="shared" si="33"/>
        <v>10</v>
      </c>
      <c r="C306" s="465">
        <f t="shared" si="34"/>
        <v>7</v>
      </c>
      <c r="D306" s="465" t="str">
        <f t="shared" si="35"/>
        <v>Festivo</v>
      </c>
      <c r="E306" s="626"/>
      <c r="F306" s="626"/>
      <c r="G306" s="626"/>
      <c r="H306" s="626"/>
      <c r="I306" s="626"/>
      <c r="J306" s="626"/>
      <c r="K306" s="626"/>
      <c r="L306" s="626"/>
      <c r="M306" s="626"/>
      <c r="N306" s="626"/>
      <c r="O306" s="626"/>
      <c r="P306" s="626"/>
      <c r="Q306" s="626"/>
      <c r="R306" s="626"/>
      <c r="S306" s="626"/>
      <c r="T306" s="618">
        <f t="shared" si="36"/>
        <v>0</v>
      </c>
    </row>
    <row r="307" spans="1:20">
      <c r="A307" s="617">
        <f t="shared" si="37"/>
        <v>44501</v>
      </c>
      <c r="B307" s="629">
        <f t="shared" si="33"/>
        <v>11</v>
      </c>
      <c r="C307" s="465">
        <f t="shared" si="34"/>
        <v>1</v>
      </c>
      <c r="D307" s="465" t="str">
        <f t="shared" si="35"/>
        <v>Laboral</v>
      </c>
      <c r="E307" s="626"/>
      <c r="F307" s="626"/>
      <c r="G307" s="626"/>
      <c r="H307" s="626"/>
      <c r="I307" s="626"/>
      <c r="J307" s="626"/>
      <c r="K307" s="626"/>
      <c r="L307" s="626"/>
      <c r="M307" s="626"/>
      <c r="N307" s="626"/>
      <c r="O307" s="626"/>
      <c r="P307" s="626"/>
      <c r="Q307" s="626"/>
      <c r="R307" s="626"/>
      <c r="S307" s="626"/>
      <c r="T307" s="618">
        <f t="shared" si="36"/>
        <v>0</v>
      </c>
    </row>
    <row r="308" spans="1:20">
      <c r="A308" s="617">
        <f t="shared" si="37"/>
        <v>44502</v>
      </c>
      <c r="B308" s="629">
        <f t="shared" si="33"/>
        <v>11</v>
      </c>
      <c r="C308" s="465">
        <f t="shared" si="34"/>
        <v>2</v>
      </c>
      <c r="D308" s="465" t="str">
        <f t="shared" si="35"/>
        <v>Laboral</v>
      </c>
      <c r="E308" s="626"/>
      <c r="F308" s="626"/>
      <c r="G308" s="626"/>
      <c r="H308" s="626"/>
      <c r="I308" s="626"/>
      <c r="J308" s="626"/>
      <c r="K308" s="626"/>
      <c r="L308" s="626"/>
      <c r="M308" s="626"/>
      <c r="N308" s="626"/>
      <c r="O308" s="626"/>
      <c r="P308" s="626"/>
      <c r="Q308" s="626"/>
      <c r="R308" s="626"/>
      <c r="S308" s="626"/>
      <c r="T308" s="618">
        <f t="shared" si="36"/>
        <v>0</v>
      </c>
    </row>
    <row r="309" spans="1:20">
      <c r="A309" s="617">
        <f t="shared" si="37"/>
        <v>44503</v>
      </c>
      <c r="B309" s="629">
        <f t="shared" si="33"/>
        <v>11</v>
      </c>
      <c r="C309" s="465">
        <f t="shared" si="34"/>
        <v>3</v>
      </c>
      <c r="D309" s="465" t="str">
        <f t="shared" si="35"/>
        <v>Laboral</v>
      </c>
      <c r="E309" s="626"/>
      <c r="F309" s="626"/>
      <c r="G309" s="626"/>
      <c r="H309" s="626"/>
      <c r="I309" s="626"/>
      <c r="J309" s="626"/>
      <c r="K309" s="626"/>
      <c r="L309" s="626"/>
      <c r="M309" s="626"/>
      <c r="N309" s="626"/>
      <c r="O309" s="626"/>
      <c r="P309" s="626"/>
      <c r="Q309" s="626"/>
      <c r="R309" s="626"/>
      <c r="S309" s="626"/>
      <c r="T309" s="618">
        <f t="shared" si="36"/>
        <v>0</v>
      </c>
    </row>
    <row r="310" spans="1:20">
      <c r="A310" s="617">
        <f t="shared" si="37"/>
        <v>44504</v>
      </c>
      <c r="B310" s="629">
        <f t="shared" si="33"/>
        <v>11</v>
      </c>
      <c r="C310" s="465">
        <f t="shared" si="34"/>
        <v>4</v>
      </c>
      <c r="D310" s="465" t="str">
        <f t="shared" si="35"/>
        <v>Laboral</v>
      </c>
      <c r="E310" s="626"/>
      <c r="F310" s="626"/>
      <c r="G310" s="626"/>
      <c r="H310" s="626"/>
      <c r="I310" s="626"/>
      <c r="J310" s="626"/>
      <c r="K310" s="626"/>
      <c r="L310" s="626"/>
      <c r="M310" s="626"/>
      <c r="N310" s="626"/>
      <c r="O310" s="626"/>
      <c r="P310" s="626"/>
      <c r="Q310" s="626"/>
      <c r="R310" s="626"/>
      <c r="S310" s="626"/>
      <c r="T310" s="618">
        <f t="shared" si="36"/>
        <v>0</v>
      </c>
    </row>
    <row r="311" spans="1:20">
      <c r="A311" s="617">
        <f t="shared" si="37"/>
        <v>44505</v>
      </c>
      <c r="B311" s="629">
        <f t="shared" si="33"/>
        <v>11</v>
      </c>
      <c r="C311" s="465">
        <f t="shared" si="34"/>
        <v>5</v>
      </c>
      <c r="D311" s="465" t="str">
        <f t="shared" si="35"/>
        <v>Laboral</v>
      </c>
      <c r="E311" s="626"/>
      <c r="F311" s="626"/>
      <c r="G311" s="626"/>
      <c r="H311" s="626"/>
      <c r="I311" s="626"/>
      <c r="J311" s="626"/>
      <c r="K311" s="626"/>
      <c r="L311" s="626"/>
      <c r="M311" s="626"/>
      <c r="N311" s="626"/>
      <c r="O311" s="626"/>
      <c r="P311" s="626"/>
      <c r="Q311" s="626"/>
      <c r="R311" s="626"/>
      <c r="S311" s="626"/>
      <c r="T311" s="618">
        <f t="shared" si="36"/>
        <v>0</v>
      </c>
    </row>
    <row r="312" spans="1:20">
      <c r="A312" s="617">
        <f t="shared" si="37"/>
        <v>44506</v>
      </c>
      <c r="B312" s="629">
        <f t="shared" si="33"/>
        <v>11</v>
      </c>
      <c r="C312" s="465">
        <f t="shared" si="34"/>
        <v>6</v>
      </c>
      <c r="D312" s="465" t="str">
        <f t="shared" si="35"/>
        <v>Festivo</v>
      </c>
      <c r="E312" s="626"/>
      <c r="F312" s="626"/>
      <c r="G312" s="626"/>
      <c r="H312" s="626"/>
      <c r="I312" s="626"/>
      <c r="J312" s="626"/>
      <c r="K312" s="626"/>
      <c r="L312" s="626"/>
      <c r="M312" s="626"/>
      <c r="N312" s="626"/>
      <c r="O312" s="626"/>
      <c r="P312" s="626"/>
      <c r="Q312" s="626"/>
      <c r="R312" s="626"/>
      <c r="S312" s="626"/>
      <c r="T312" s="618">
        <f t="shared" si="36"/>
        <v>0</v>
      </c>
    </row>
    <row r="313" spans="1:20">
      <c r="A313" s="617">
        <f t="shared" si="37"/>
        <v>44507</v>
      </c>
      <c r="B313" s="629">
        <f t="shared" si="33"/>
        <v>11</v>
      </c>
      <c r="C313" s="465">
        <f t="shared" si="34"/>
        <v>7</v>
      </c>
      <c r="D313" s="465" t="str">
        <f t="shared" si="35"/>
        <v>Festivo</v>
      </c>
      <c r="E313" s="626"/>
      <c r="F313" s="626"/>
      <c r="G313" s="626"/>
      <c r="H313" s="626"/>
      <c r="I313" s="626"/>
      <c r="J313" s="626"/>
      <c r="K313" s="626"/>
      <c r="L313" s="626"/>
      <c r="M313" s="626"/>
      <c r="N313" s="626"/>
      <c r="O313" s="626"/>
      <c r="P313" s="626"/>
      <c r="Q313" s="626"/>
      <c r="R313" s="626"/>
      <c r="S313" s="626"/>
      <c r="T313" s="618">
        <f t="shared" si="36"/>
        <v>0</v>
      </c>
    </row>
    <row r="314" spans="1:20">
      <c r="A314" s="617">
        <f t="shared" si="37"/>
        <v>44508</v>
      </c>
      <c r="B314" s="629">
        <f t="shared" si="33"/>
        <v>11</v>
      </c>
      <c r="C314" s="465">
        <f t="shared" si="34"/>
        <v>1</v>
      </c>
      <c r="D314" s="465" t="str">
        <f t="shared" si="35"/>
        <v>Laboral</v>
      </c>
      <c r="E314" s="626"/>
      <c r="F314" s="626"/>
      <c r="G314" s="626"/>
      <c r="H314" s="626"/>
      <c r="I314" s="626"/>
      <c r="J314" s="626"/>
      <c r="K314" s="626"/>
      <c r="L314" s="626"/>
      <c r="M314" s="626"/>
      <c r="N314" s="626"/>
      <c r="O314" s="626"/>
      <c r="P314" s="626"/>
      <c r="Q314" s="626"/>
      <c r="R314" s="626"/>
      <c r="S314" s="626"/>
      <c r="T314" s="618">
        <f t="shared" si="36"/>
        <v>0</v>
      </c>
    </row>
    <row r="315" spans="1:20">
      <c r="A315" s="617">
        <f t="shared" si="37"/>
        <v>44509</v>
      </c>
      <c r="B315" s="629">
        <f t="shared" si="33"/>
        <v>11</v>
      </c>
      <c r="C315" s="465">
        <f t="shared" si="34"/>
        <v>2</v>
      </c>
      <c r="D315" s="465" t="str">
        <f t="shared" si="35"/>
        <v>Laboral</v>
      </c>
      <c r="E315" s="626"/>
      <c r="F315" s="626"/>
      <c r="G315" s="626"/>
      <c r="H315" s="626"/>
      <c r="I315" s="626"/>
      <c r="J315" s="626"/>
      <c r="K315" s="626"/>
      <c r="L315" s="626"/>
      <c r="M315" s="626"/>
      <c r="N315" s="626"/>
      <c r="O315" s="626"/>
      <c r="P315" s="626"/>
      <c r="Q315" s="626"/>
      <c r="R315" s="626"/>
      <c r="S315" s="626"/>
      <c r="T315" s="618">
        <f t="shared" si="36"/>
        <v>0</v>
      </c>
    </row>
    <row r="316" spans="1:20">
      <c r="A316" s="617">
        <f t="shared" si="37"/>
        <v>44510</v>
      </c>
      <c r="B316" s="629">
        <f t="shared" si="33"/>
        <v>11</v>
      </c>
      <c r="C316" s="465">
        <f t="shared" si="34"/>
        <v>3</v>
      </c>
      <c r="D316" s="465" t="str">
        <f t="shared" si="35"/>
        <v>Laboral</v>
      </c>
      <c r="E316" s="626"/>
      <c r="F316" s="626"/>
      <c r="G316" s="626"/>
      <c r="H316" s="626"/>
      <c r="I316" s="626"/>
      <c r="J316" s="626"/>
      <c r="K316" s="626"/>
      <c r="L316" s="626"/>
      <c r="M316" s="626"/>
      <c r="N316" s="626"/>
      <c r="O316" s="626"/>
      <c r="P316" s="626"/>
      <c r="Q316" s="626"/>
      <c r="R316" s="626"/>
      <c r="S316" s="626"/>
      <c r="T316" s="618">
        <f t="shared" si="36"/>
        <v>0</v>
      </c>
    </row>
    <row r="317" spans="1:20">
      <c r="A317" s="617">
        <f t="shared" si="37"/>
        <v>44511</v>
      </c>
      <c r="B317" s="629">
        <f t="shared" si="33"/>
        <v>11</v>
      </c>
      <c r="C317" s="465">
        <f t="shared" si="34"/>
        <v>4</v>
      </c>
      <c r="D317" s="465" t="str">
        <f t="shared" si="35"/>
        <v>Laboral</v>
      </c>
      <c r="E317" s="626"/>
      <c r="F317" s="626"/>
      <c r="G317" s="626"/>
      <c r="H317" s="626"/>
      <c r="I317" s="626"/>
      <c r="J317" s="626"/>
      <c r="K317" s="626"/>
      <c r="L317" s="626"/>
      <c r="M317" s="626"/>
      <c r="N317" s="626"/>
      <c r="O317" s="626"/>
      <c r="P317" s="626"/>
      <c r="Q317" s="626"/>
      <c r="R317" s="626"/>
      <c r="S317" s="626"/>
      <c r="T317" s="618">
        <f t="shared" si="36"/>
        <v>0</v>
      </c>
    </row>
    <row r="318" spans="1:20">
      <c r="A318" s="617">
        <f t="shared" si="37"/>
        <v>44512</v>
      </c>
      <c r="B318" s="629">
        <f t="shared" si="33"/>
        <v>11</v>
      </c>
      <c r="C318" s="465">
        <f t="shared" si="34"/>
        <v>5</v>
      </c>
      <c r="D318" s="465" t="str">
        <f t="shared" si="35"/>
        <v>Laboral</v>
      </c>
      <c r="E318" s="626"/>
      <c r="F318" s="626"/>
      <c r="G318" s="626"/>
      <c r="H318" s="626"/>
      <c r="I318" s="626"/>
      <c r="J318" s="626"/>
      <c r="K318" s="626"/>
      <c r="L318" s="626"/>
      <c r="M318" s="626"/>
      <c r="N318" s="626"/>
      <c r="O318" s="626"/>
      <c r="P318" s="626"/>
      <c r="Q318" s="626"/>
      <c r="R318" s="626"/>
      <c r="S318" s="626"/>
      <c r="T318" s="618">
        <f t="shared" si="36"/>
        <v>0</v>
      </c>
    </row>
    <row r="319" spans="1:20">
      <c r="A319" s="617">
        <f t="shared" si="37"/>
        <v>44513</v>
      </c>
      <c r="B319" s="629">
        <f t="shared" si="33"/>
        <v>11</v>
      </c>
      <c r="C319" s="465">
        <f t="shared" si="34"/>
        <v>6</v>
      </c>
      <c r="D319" s="465" t="str">
        <f t="shared" si="35"/>
        <v>Festivo</v>
      </c>
      <c r="E319" s="626"/>
      <c r="F319" s="626"/>
      <c r="G319" s="626"/>
      <c r="H319" s="626"/>
      <c r="I319" s="626"/>
      <c r="J319" s="626"/>
      <c r="K319" s="626"/>
      <c r="L319" s="626"/>
      <c r="M319" s="626"/>
      <c r="N319" s="626"/>
      <c r="O319" s="626"/>
      <c r="P319" s="626"/>
      <c r="Q319" s="626"/>
      <c r="R319" s="626"/>
      <c r="S319" s="626"/>
      <c r="T319" s="618">
        <f t="shared" si="36"/>
        <v>0</v>
      </c>
    </row>
    <row r="320" spans="1:20">
      <c r="A320" s="617">
        <f t="shared" si="37"/>
        <v>44514</v>
      </c>
      <c r="B320" s="629">
        <f t="shared" si="33"/>
        <v>11</v>
      </c>
      <c r="C320" s="465">
        <f t="shared" si="34"/>
        <v>7</v>
      </c>
      <c r="D320" s="465" t="str">
        <f t="shared" si="35"/>
        <v>Festivo</v>
      </c>
      <c r="E320" s="626"/>
      <c r="F320" s="626"/>
      <c r="G320" s="626"/>
      <c r="H320" s="626"/>
      <c r="I320" s="626"/>
      <c r="J320" s="626"/>
      <c r="K320" s="626"/>
      <c r="L320" s="626"/>
      <c r="M320" s="626"/>
      <c r="N320" s="626"/>
      <c r="O320" s="626"/>
      <c r="P320" s="626"/>
      <c r="Q320" s="626"/>
      <c r="R320" s="626"/>
      <c r="S320" s="626"/>
      <c r="T320" s="618">
        <f t="shared" si="36"/>
        <v>0</v>
      </c>
    </row>
    <row r="321" spans="1:20">
      <c r="A321" s="617">
        <f t="shared" si="37"/>
        <v>44515</v>
      </c>
      <c r="B321" s="629">
        <f t="shared" si="33"/>
        <v>11</v>
      </c>
      <c r="C321" s="465">
        <f t="shared" si="34"/>
        <v>1</v>
      </c>
      <c r="D321" s="465" t="str">
        <f t="shared" si="35"/>
        <v>Laboral</v>
      </c>
      <c r="E321" s="626"/>
      <c r="F321" s="626"/>
      <c r="G321" s="626"/>
      <c r="H321" s="626"/>
      <c r="I321" s="626"/>
      <c r="J321" s="626"/>
      <c r="K321" s="626"/>
      <c r="L321" s="626"/>
      <c r="M321" s="626"/>
      <c r="N321" s="626"/>
      <c r="O321" s="626"/>
      <c r="P321" s="626"/>
      <c r="Q321" s="626"/>
      <c r="R321" s="626"/>
      <c r="S321" s="626"/>
      <c r="T321" s="618">
        <f t="shared" si="36"/>
        <v>0</v>
      </c>
    </row>
    <row r="322" spans="1:20">
      <c r="A322" s="617">
        <f t="shared" si="37"/>
        <v>44516</v>
      </c>
      <c r="B322" s="629">
        <f t="shared" si="33"/>
        <v>11</v>
      </c>
      <c r="C322" s="465">
        <f t="shared" si="34"/>
        <v>2</v>
      </c>
      <c r="D322" s="465" t="str">
        <f t="shared" si="35"/>
        <v>Laboral</v>
      </c>
      <c r="E322" s="626"/>
      <c r="F322" s="626"/>
      <c r="G322" s="626"/>
      <c r="H322" s="626"/>
      <c r="I322" s="626"/>
      <c r="J322" s="626"/>
      <c r="K322" s="626"/>
      <c r="L322" s="626"/>
      <c r="M322" s="626"/>
      <c r="N322" s="626"/>
      <c r="O322" s="626"/>
      <c r="P322" s="626"/>
      <c r="Q322" s="626"/>
      <c r="R322" s="626"/>
      <c r="S322" s="626"/>
      <c r="T322" s="618">
        <f t="shared" si="36"/>
        <v>0</v>
      </c>
    </row>
    <row r="323" spans="1:20">
      <c r="A323" s="617">
        <f t="shared" si="37"/>
        <v>44517</v>
      </c>
      <c r="B323" s="629">
        <f t="shared" si="33"/>
        <v>11</v>
      </c>
      <c r="C323" s="465">
        <f t="shared" si="34"/>
        <v>3</v>
      </c>
      <c r="D323" s="465" t="str">
        <f t="shared" si="35"/>
        <v>Laboral</v>
      </c>
      <c r="E323" s="626"/>
      <c r="F323" s="626"/>
      <c r="G323" s="626"/>
      <c r="H323" s="626"/>
      <c r="I323" s="626"/>
      <c r="J323" s="626"/>
      <c r="K323" s="626"/>
      <c r="L323" s="626"/>
      <c r="M323" s="626"/>
      <c r="N323" s="626"/>
      <c r="O323" s="626"/>
      <c r="P323" s="626"/>
      <c r="Q323" s="626"/>
      <c r="R323" s="626"/>
      <c r="S323" s="626"/>
      <c r="T323" s="618">
        <f t="shared" si="36"/>
        <v>0</v>
      </c>
    </row>
    <row r="324" spans="1:20">
      <c r="A324" s="617">
        <f t="shared" si="37"/>
        <v>44518</v>
      </c>
      <c r="B324" s="629">
        <f t="shared" ref="B324:B367" si="38">MONTH(A324)</f>
        <v>11</v>
      </c>
      <c r="C324" s="465">
        <f t="shared" ref="C324:C367" si="39">WEEKDAY(A324,2)</f>
        <v>4</v>
      </c>
      <c r="D324" s="465" t="str">
        <f t="shared" ref="D324:D367" si="40">IF(OR(C324=$X$4,C324=$X$3,A324=$W$6,A324=$W$7,A324=$W$8,A324=$W$9,A324=$W$10,A324=$W$11,A324=$W$12,A324=$W$13,A324=$W$14,A324=$W$15,A324=$W$16,A324=$W$17,A324=$W$18,A324=$W$19,A324=$W$20),"Festivo","Laboral")</f>
        <v>Laboral</v>
      </c>
      <c r="E324" s="626"/>
      <c r="F324" s="626"/>
      <c r="G324" s="626"/>
      <c r="H324" s="626"/>
      <c r="I324" s="626"/>
      <c r="J324" s="626"/>
      <c r="K324" s="626"/>
      <c r="L324" s="626"/>
      <c r="M324" s="626"/>
      <c r="N324" s="626"/>
      <c r="O324" s="626"/>
      <c r="P324" s="626"/>
      <c r="Q324" s="626"/>
      <c r="R324" s="626"/>
      <c r="S324" s="626"/>
      <c r="T324" s="618">
        <f t="shared" ref="T324:T367" si="41">SUMPRODUCT(E324:S324,E$1:S$1)</f>
        <v>0</v>
      </c>
    </row>
    <row r="325" spans="1:20">
      <c r="A325" s="617">
        <f t="shared" ref="A325:A367" si="42">+A324+1</f>
        <v>44519</v>
      </c>
      <c r="B325" s="629">
        <f t="shared" si="38"/>
        <v>11</v>
      </c>
      <c r="C325" s="465">
        <f t="shared" si="39"/>
        <v>5</v>
      </c>
      <c r="D325" s="465" t="str">
        <f t="shared" si="40"/>
        <v>Laboral</v>
      </c>
      <c r="E325" s="626"/>
      <c r="F325" s="626"/>
      <c r="G325" s="626"/>
      <c r="H325" s="626"/>
      <c r="I325" s="626"/>
      <c r="J325" s="626"/>
      <c r="K325" s="626"/>
      <c r="L325" s="626"/>
      <c r="M325" s="626"/>
      <c r="N325" s="626"/>
      <c r="O325" s="626"/>
      <c r="P325" s="626"/>
      <c r="Q325" s="626"/>
      <c r="R325" s="626"/>
      <c r="S325" s="626"/>
      <c r="T325" s="618">
        <f t="shared" si="41"/>
        <v>0</v>
      </c>
    </row>
    <row r="326" spans="1:20">
      <c r="A326" s="617">
        <f t="shared" si="42"/>
        <v>44520</v>
      </c>
      <c r="B326" s="629">
        <f t="shared" si="38"/>
        <v>11</v>
      </c>
      <c r="C326" s="465">
        <f t="shared" si="39"/>
        <v>6</v>
      </c>
      <c r="D326" s="465" t="str">
        <f t="shared" si="40"/>
        <v>Festivo</v>
      </c>
      <c r="E326" s="626"/>
      <c r="F326" s="626"/>
      <c r="G326" s="626"/>
      <c r="H326" s="626"/>
      <c r="I326" s="626"/>
      <c r="J326" s="626"/>
      <c r="K326" s="626"/>
      <c r="L326" s="626"/>
      <c r="M326" s="626"/>
      <c r="N326" s="626"/>
      <c r="O326" s="626"/>
      <c r="P326" s="626"/>
      <c r="Q326" s="626"/>
      <c r="R326" s="626"/>
      <c r="S326" s="626"/>
      <c r="T326" s="618">
        <f t="shared" si="41"/>
        <v>0</v>
      </c>
    </row>
    <row r="327" spans="1:20">
      <c r="A327" s="617">
        <f t="shared" si="42"/>
        <v>44521</v>
      </c>
      <c r="B327" s="629">
        <f t="shared" si="38"/>
        <v>11</v>
      </c>
      <c r="C327" s="465">
        <f t="shared" si="39"/>
        <v>7</v>
      </c>
      <c r="D327" s="465" t="str">
        <f t="shared" si="40"/>
        <v>Festivo</v>
      </c>
      <c r="E327" s="626"/>
      <c r="F327" s="626"/>
      <c r="G327" s="626"/>
      <c r="H327" s="626"/>
      <c r="I327" s="626"/>
      <c r="J327" s="626"/>
      <c r="K327" s="626"/>
      <c r="L327" s="626"/>
      <c r="M327" s="626"/>
      <c r="N327" s="626"/>
      <c r="O327" s="626"/>
      <c r="P327" s="626"/>
      <c r="Q327" s="626"/>
      <c r="R327" s="626"/>
      <c r="S327" s="626"/>
      <c r="T327" s="618">
        <f t="shared" si="41"/>
        <v>0</v>
      </c>
    </row>
    <row r="328" spans="1:20">
      <c r="A328" s="617">
        <f t="shared" si="42"/>
        <v>44522</v>
      </c>
      <c r="B328" s="629">
        <f t="shared" si="38"/>
        <v>11</v>
      </c>
      <c r="C328" s="465">
        <f t="shared" si="39"/>
        <v>1</v>
      </c>
      <c r="D328" s="465" t="str">
        <f t="shared" si="40"/>
        <v>Laboral</v>
      </c>
      <c r="E328" s="626"/>
      <c r="F328" s="626"/>
      <c r="G328" s="626"/>
      <c r="H328" s="626"/>
      <c r="I328" s="626"/>
      <c r="J328" s="626"/>
      <c r="K328" s="626"/>
      <c r="L328" s="626"/>
      <c r="M328" s="626"/>
      <c r="N328" s="626"/>
      <c r="O328" s="626"/>
      <c r="P328" s="626"/>
      <c r="Q328" s="626"/>
      <c r="R328" s="626"/>
      <c r="S328" s="626"/>
      <c r="T328" s="618">
        <f t="shared" si="41"/>
        <v>0</v>
      </c>
    </row>
    <row r="329" spans="1:20">
      <c r="A329" s="617">
        <f t="shared" si="42"/>
        <v>44523</v>
      </c>
      <c r="B329" s="629">
        <f t="shared" si="38"/>
        <v>11</v>
      </c>
      <c r="C329" s="465">
        <f t="shared" si="39"/>
        <v>2</v>
      </c>
      <c r="D329" s="465" t="str">
        <f t="shared" si="40"/>
        <v>Laboral</v>
      </c>
      <c r="E329" s="626"/>
      <c r="F329" s="626"/>
      <c r="G329" s="626"/>
      <c r="H329" s="626"/>
      <c r="I329" s="626"/>
      <c r="J329" s="626"/>
      <c r="K329" s="626"/>
      <c r="L329" s="626"/>
      <c r="M329" s="626"/>
      <c r="N329" s="626"/>
      <c r="O329" s="626"/>
      <c r="P329" s="626"/>
      <c r="Q329" s="626"/>
      <c r="R329" s="626"/>
      <c r="S329" s="626"/>
      <c r="T329" s="618">
        <f t="shared" si="41"/>
        <v>0</v>
      </c>
    </row>
    <row r="330" spans="1:20">
      <c r="A330" s="617">
        <f t="shared" si="42"/>
        <v>44524</v>
      </c>
      <c r="B330" s="629">
        <f t="shared" si="38"/>
        <v>11</v>
      </c>
      <c r="C330" s="465">
        <f t="shared" si="39"/>
        <v>3</v>
      </c>
      <c r="D330" s="465" t="str">
        <f t="shared" si="40"/>
        <v>Laboral</v>
      </c>
      <c r="E330" s="626"/>
      <c r="F330" s="626"/>
      <c r="G330" s="626"/>
      <c r="H330" s="626"/>
      <c r="I330" s="626"/>
      <c r="J330" s="626"/>
      <c r="K330" s="626"/>
      <c r="L330" s="626"/>
      <c r="M330" s="626"/>
      <c r="N330" s="626"/>
      <c r="O330" s="626"/>
      <c r="P330" s="626"/>
      <c r="Q330" s="626"/>
      <c r="R330" s="626"/>
      <c r="S330" s="626"/>
      <c r="T330" s="618">
        <f t="shared" si="41"/>
        <v>0</v>
      </c>
    </row>
    <row r="331" spans="1:20">
      <c r="A331" s="617">
        <f t="shared" si="42"/>
        <v>44525</v>
      </c>
      <c r="B331" s="629">
        <f t="shared" si="38"/>
        <v>11</v>
      </c>
      <c r="C331" s="465">
        <f t="shared" si="39"/>
        <v>4</v>
      </c>
      <c r="D331" s="465" t="str">
        <f t="shared" si="40"/>
        <v>Laboral</v>
      </c>
      <c r="E331" s="626"/>
      <c r="F331" s="626"/>
      <c r="G331" s="626"/>
      <c r="H331" s="626"/>
      <c r="I331" s="626"/>
      <c r="J331" s="626"/>
      <c r="K331" s="626"/>
      <c r="L331" s="626"/>
      <c r="M331" s="626"/>
      <c r="N331" s="626"/>
      <c r="O331" s="626"/>
      <c r="P331" s="626"/>
      <c r="Q331" s="626"/>
      <c r="R331" s="626"/>
      <c r="S331" s="626"/>
      <c r="T331" s="618">
        <f t="shared" si="41"/>
        <v>0</v>
      </c>
    </row>
    <row r="332" spans="1:20">
      <c r="A332" s="617">
        <f t="shared" si="42"/>
        <v>44526</v>
      </c>
      <c r="B332" s="629">
        <f t="shared" si="38"/>
        <v>11</v>
      </c>
      <c r="C332" s="465">
        <f t="shared" si="39"/>
        <v>5</v>
      </c>
      <c r="D332" s="465" t="str">
        <f t="shared" si="40"/>
        <v>Laboral</v>
      </c>
      <c r="E332" s="626"/>
      <c r="F332" s="626"/>
      <c r="G332" s="626"/>
      <c r="H332" s="626"/>
      <c r="I332" s="626"/>
      <c r="J332" s="626"/>
      <c r="K332" s="626"/>
      <c r="L332" s="626"/>
      <c r="M332" s="626"/>
      <c r="N332" s="626"/>
      <c r="O332" s="626"/>
      <c r="P332" s="626"/>
      <c r="Q332" s="626"/>
      <c r="R332" s="626"/>
      <c r="S332" s="626"/>
      <c r="T332" s="618">
        <f t="shared" si="41"/>
        <v>0</v>
      </c>
    </row>
    <row r="333" spans="1:20">
      <c r="A333" s="617">
        <f t="shared" si="42"/>
        <v>44527</v>
      </c>
      <c r="B333" s="629">
        <f t="shared" si="38"/>
        <v>11</v>
      </c>
      <c r="C333" s="465">
        <f t="shared" si="39"/>
        <v>6</v>
      </c>
      <c r="D333" s="465" t="str">
        <f t="shared" si="40"/>
        <v>Festivo</v>
      </c>
      <c r="E333" s="626"/>
      <c r="F333" s="626"/>
      <c r="G333" s="626"/>
      <c r="H333" s="626"/>
      <c r="I333" s="626"/>
      <c r="J333" s="626"/>
      <c r="K333" s="626"/>
      <c r="L333" s="626"/>
      <c r="M333" s="626"/>
      <c r="N333" s="626"/>
      <c r="O333" s="626"/>
      <c r="P333" s="626"/>
      <c r="Q333" s="626"/>
      <c r="R333" s="626"/>
      <c r="S333" s="626"/>
      <c r="T333" s="618">
        <f t="shared" si="41"/>
        <v>0</v>
      </c>
    </row>
    <row r="334" spans="1:20">
      <c r="A334" s="617">
        <f t="shared" si="42"/>
        <v>44528</v>
      </c>
      <c r="B334" s="629">
        <f t="shared" si="38"/>
        <v>11</v>
      </c>
      <c r="C334" s="465">
        <f t="shared" si="39"/>
        <v>7</v>
      </c>
      <c r="D334" s="465" t="str">
        <f t="shared" si="40"/>
        <v>Festivo</v>
      </c>
      <c r="E334" s="626"/>
      <c r="F334" s="626"/>
      <c r="G334" s="626"/>
      <c r="H334" s="626"/>
      <c r="I334" s="626"/>
      <c r="J334" s="626"/>
      <c r="K334" s="626"/>
      <c r="L334" s="626"/>
      <c r="M334" s="626"/>
      <c r="N334" s="626"/>
      <c r="O334" s="626"/>
      <c r="P334" s="626"/>
      <c r="Q334" s="626"/>
      <c r="R334" s="626"/>
      <c r="S334" s="626"/>
      <c r="T334" s="618">
        <f t="shared" si="41"/>
        <v>0</v>
      </c>
    </row>
    <row r="335" spans="1:20">
      <c r="A335" s="617">
        <f t="shared" si="42"/>
        <v>44529</v>
      </c>
      <c r="B335" s="629">
        <f t="shared" si="38"/>
        <v>11</v>
      </c>
      <c r="C335" s="465">
        <f t="shared" si="39"/>
        <v>1</v>
      </c>
      <c r="D335" s="465" t="str">
        <f t="shared" si="40"/>
        <v>Laboral</v>
      </c>
      <c r="E335" s="626"/>
      <c r="F335" s="626"/>
      <c r="G335" s="626"/>
      <c r="H335" s="626"/>
      <c r="I335" s="626"/>
      <c r="J335" s="626"/>
      <c r="K335" s="626"/>
      <c r="L335" s="626"/>
      <c r="M335" s="626"/>
      <c r="N335" s="626"/>
      <c r="O335" s="626"/>
      <c r="P335" s="626"/>
      <c r="Q335" s="626"/>
      <c r="R335" s="626"/>
      <c r="S335" s="626"/>
      <c r="T335" s="618">
        <f t="shared" si="41"/>
        <v>0</v>
      </c>
    </row>
    <row r="336" spans="1:20">
      <c r="A336" s="617">
        <f t="shared" si="42"/>
        <v>44530</v>
      </c>
      <c r="B336" s="629">
        <f>MONTH(A336)</f>
        <v>11</v>
      </c>
      <c r="C336" s="465">
        <f t="shared" si="39"/>
        <v>2</v>
      </c>
      <c r="D336" s="465" t="str">
        <f t="shared" si="40"/>
        <v>Laboral</v>
      </c>
      <c r="E336" s="626"/>
      <c r="F336" s="626"/>
      <c r="G336" s="626"/>
      <c r="H336" s="626"/>
      <c r="I336" s="626"/>
      <c r="J336" s="626"/>
      <c r="K336" s="626"/>
      <c r="L336" s="626"/>
      <c r="M336" s="626"/>
      <c r="N336" s="626"/>
      <c r="O336" s="626"/>
      <c r="P336" s="626"/>
      <c r="Q336" s="626"/>
      <c r="R336" s="626"/>
      <c r="S336" s="626"/>
      <c r="T336" s="618">
        <f t="shared" si="41"/>
        <v>0</v>
      </c>
    </row>
    <row r="337" spans="1:20">
      <c r="A337" s="617">
        <f t="shared" si="42"/>
        <v>44531</v>
      </c>
      <c r="B337" s="629">
        <f t="shared" si="38"/>
        <v>12</v>
      </c>
      <c r="C337" s="465">
        <f t="shared" si="39"/>
        <v>3</v>
      </c>
      <c r="D337" s="465" t="str">
        <f t="shared" si="40"/>
        <v>Laboral</v>
      </c>
      <c r="E337" s="626"/>
      <c r="F337" s="626"/>
      <c r="G337" s="626"/>
      <c r="H337" s="626"/>
      <c r="I337" s="626"/>
      <c r="J337" s="626"/>
      <c r="K337" s="626"/>
      <c r="L337" s="626"/>
      <c r="M337" s="626"/>
      <c r="N337" s="626"/>
      <c r="O337" s="626"/>
      <c r="P337" s="626"/>
      <c r="Q337" s="626"/>
      <c r="R337" s="626"/>
      <c r="S337" s="626"/>
      <c r="T337" s="618">
        <f t="shared" si="41"/>
        <v>0</v>
      </c>
    </row>
    <row r="338" spans="1:20">
      <c r="A338" s="617">
        <f t="shared" si="42"/>
        <v>44532</v>
      </c>
      <c r="B338" s="629">
        <f t="shared" si="38"/>
        <v>12</v>
      </c>
      <c r="C338" s="465">
        <f t="shared" si="39"/>
        <v>4</v>
      </c>
      <c r="D338" s="465" t="str">
        <f t="shared" si="40"/>
        <v>Laboral</v>
      </c>
      <c r="E338" s="626"/>
      <c r="F338" s="626"/>
      <c r="G338" s="626"/>
      <c r="H338" s="626"/>
      <c r="I338" s="626"/>
      <c r="J338" s="626"/>
      <c r="K338" s="626"/>
      <c r="L338" s="626"/>
      <c r="M338" s="626"/>
      <c r="N338" s="626"/>
      <c r="O338" s="626"/>
      <c r="P338" s="626"/>
      <c r="Q338" s="626"/>
      <c r="R338" s="626"/>
      <c r="S338" s="626"/>
      <c r="T338" s="618">
        <f t="shared" si="41"/>
        <v>0</v>
      </c>
    </row>
    <row r="339" spans="1:20">
      <c r="A339" s="617">
        <f t="shared" si="42"/>
        <v>44533</v>
      </c>
      <c r="B339" s="629">
        <f t="shared" si="38"/>
        <v>12</v>
      </c>
      <c r="C339" s="465">
        <f t="shared" si="39"/>
        <v>5</v>
      </c>
      <c r="D339" s="465" t="str">
        <f t="shared" si="40"/>
        <v>Laboral</v>
      </c>
      <c r="E339" s="626"/>
      <c r="F339" s="626"/>
      <c r="G339" s="626"/>
      <c r="H339" s="626"/>
      <c r="I339" s="626"/>
      <c r="J339" s="626"/>
      <c r="K339" s="626"/>
      <c r="L339" s="626"/>
      <c r="M339" s="626"/>
      <c r="N339" s="626"/>
      <c r="O339" s="626"/>
      <c r="P339" s="626"/>
      <c r="Q339" s="626"/>
      <c r="R339" s="626"/>
      <c r="S339" s="626"/>
      <c r="T339" s="618">
        <f t="shared" si="41"/>
        <v>0</v>
      </c>
    </row>
    <row r="340" spans="1:20">
      <c r="A340" s="617">
        <f t="shared" si="42"/>
        <v>44534</v>
      </c>
      <c r="B340" s="629">
        <f t="shared" si="38"/>
        <v>12</v>
      </c>
      <c r="C340" s="465">
        <f t="shared" si="39"/>
        <v>6</v>
      </c>
      <c r="D340" s="465" t="str">
        <f t="shared" si="40"/>
        <v>Festivo</v>
      </c>
      <c r="E340" s="626"/>
      <c r="F340" s="626"/>
      <c r="G340" s="626"/>
      <c r="H340" s="626"/>
      <c r="I340" s="626"/>
      <c r="J340" s="626"/>
      <c r="K340" s="626"/>
      <c r="L340" s="626"/>
      <c r="M340" s="626"/>
      <c r="N340" s="626"/>
      <c r="O340" s="626"/>
      <c r="P340" s="626"/>
      <c r="Q340" s="626"/>
      <c r="R340" s="626"/>
      <c r="S340" s="626"/>
      <c r="T340" s="618">
        <f t="shared" si="41"/>
        <v>0</v>
      </c>
    </row>
    <row r="341" spans="1:20">
      <c r="A341" s="617">
        <f t="shared" si="42"/>
        <v>44535</v>
      </c>
      <c r="B341" s="629">
        <f t="shared" si="38"/>
        <v>12</v>
      </c>
      <c r="C341" s="465">
        <f t="shared" si="39"/>
        <v>7</v>
      </c>
      <c r="D341" s="465" t="str">
        <f t="shared" si="40"/>
        <v>Festivo</v>
      </c>
      <c r="E341" s="626"/>
      <c r="F341" s="626"/>
      <c r="G341" s="626"/>
      <c r="H341" s="626"/>
      <c r="I341" s="626"/>
      <c r="J341" s="626"/>
      <c r="K341" s="626"/>
      <c r="L341" s="626"/>
      <c r="M341" s="626"/>
      <c r="N341" s="626"/>
      <c r="O341" s="626"/>
      <c r="P341" s="626"/>
      <c r="Q341" s="626"/>
      <c r="R341" s="626"/>
      <c r="S341" s="626"/>
      <c r="T341" s="618">
        <f t="shared" si="41"/>
        <v>0</v>
      </c>
    </row>
    <row r="342" spans="1:20">
      <c r="A342" s="617">
        <f t="shared" si="42"/>
        <v>44536</v>
      </c>
      <c r="B342" s="629">
        <f t="shared" si="38"/>
        <v>12</v>
      </c>
      <c r="C342" s="465">
        <f t="shared" si="39"/>
        <v>1</v>
      </c>
      <c r="D342" s="465" t="str">
        <f t="shared" si="40"/>
        <v>Festivo</v>
      </c>
      <c r="E342" s="626"/>
      <c r="F342" s="626"/>
      <c r="G342" s="626"/>
      <c r="H342" s="626"/>
      <c r="I342" s="626"/>
      <c r="J342" s="626"/>
      <c r="K342" s="626"/>
      <c r="L342" s="626"/>
      <c r="M342" s="626"/>
      <c r="N342" s="626"/>
      <c r="O342" s="626"/>
      <c r="P342" s="626"/>
      <c r="Q342" s="626"/>
      <c r="R342" s="626"/>
      <c r="S342" s="626"/>
      <c r="T342" s="618">
        <f t="shared" si="41"/>
        <v>0</v>
      </c>
    </row>
    <row r="343" spans="1:20">
      <c r="A343" s="617">
        <f t="shared" si="42"/>
        <v>44537</v>
      </c>
      <c r="B343" s="629">
        <f t="shared" si="38"/>
        <v>12</v>
      </c>
      <c r="C343" s="465">
        <f t="shared" si="39"/>
        <v>2</v>
      </c>
      <c r="D343" s="465" t="str">
        <f t="shared" si="40"/>
        <v>Laboral</v>
      </c>
      <c r="E343" s="626"/>
      <c r="F343" s="626"/>
      <c r="G343" s="626"/>
      <c r="H343" s="626"/>
      <c r="I343" s="626"/>
      <c r="J343" s="626"/>
      <c r="K343" s="626"/>
      <c r="L343" s="626"/>
      <c r="M343" s="626"/>
      <c r="N343" s="626"/>
      <c r="O343" s="626"/>
      <c r="P343" s="626"/>
      <c r="Q343" s="626"/>
      <c r="R343" s="626"/>
      <c r="S343" s="626"/>
      <c r="T343" s="618">
        <f t="shared" si="41"/>
        <v>0</v>
      </c>
    </row>
    <row r="344" spans="1:20">
      <c r="A344" s="617">
        <f t="shared" si="42"/>
        <v>44538</v>
      </c>
      <c r="B344" s="629">
        <f t="shared" si="38"/>
        <v>12</v>
      </c>
      <c r="C344" s="465">
        <f t="shared" si="39"/>
        <v>3</v>
      </c>
      <c r="D344" s="465" t="str">
        <f t="shared" si="40"/>
        <v>Festivo</v>
      </c>
      <c r="E344" s="626"/>
      <c r="F344" s="626"/>
      <c r="G344" s="626"/>
      <c r="H344" s="626"/>
      <c r="I344" s="626"/>
      <c r="J344" s="626"/>
      <c r="K344" s="626"/>
      <c r="L344" s="626"/>
      <c r="M344" s="626"/>
      <c r="N344" s="626"/>
      <c r="O344" s="626"/>
      <c r="P344" s="626"/>
      <c r="Q344" s="626"/>
      <c r="R344" s="626"/>
      <c r="S344" s="626"/>
      <c r="T344" s="618">
        <f t="shared" si="41"/>
        <v>0</v>
      </c>
    </row>
    <row r="345" spans="1:20">
      <c r="A345" s="617">
        <f t="shared" si="42"/>
        <v>44539</v>
      </c>
      <c r="B345" s="629">
        <f t="shared" si="38"/>
        <v>12</v>
      </c>
      <c r="C345" s="465">
        <f t="shared" si="39"/>
        <v>4</v>
      </c>
      <c r="D345" s="465" t="str">
        <f t="shared" si="40"/>
        <v>Laboral</v>
      </c>
      <c r="E345" s="626"/>
      <c r="F345" s="626"/>
      <c r="G345" s="626"/>
      <c r="H345" s="626"/>
      <c r="I345" s="626"/>
      <c r="J345" s="626"/>
      <c r="K345" s="626"/>
      <c r="L345" s="626"/>
      <c r="M345" s="626"/>
      <c r="N345" s="626"/>
      <c r="O345" s="626"/>
      <c r="P345" s="626"/>
      <c r="Q345" s="626"/>
      <c r="R345" s="626"/>
      <c r="S345" s="626"/>
      <c r="T345" s="618">
        <f t="shared" si="41"/>
        <v>0</v>
      </c>
    </row>
    <row r="346" spans="1:20">
      <c r="A346" s="617">
        <f t="shared" si="42"/>
        <v>44540</v>
      </c>
      <c r="B346" s="629">
        <f t="shared" si="38"/>
        <v>12</v>
      </c>
      <c r="C346" s="465">
        <f t="shared" si="39"/>
        <v>5</v>
      </c>
      <c r="D346" s="465" t="str">
        <f t="shared" si="40"/>
        <v>Laboral</v>
      </c>
      <c r="E346" s="626"/>
      <c r="F346" s="626"/>
      <c r="G346" s="626"/>
      <c r="H346" s="626"/>
      <c r="I346" s="626"/>
      <c r="J346" s="626"/>
      <c r="K346" s="626"/>
      <c r="L346" s="626"/>
      <c r="M346" s="626"/>
      <c r="N346" s="626"/>
      <c r="O346" s="626"/>
      <c r="P346" s="626"/>
      <c r="Q346" s="626"/>
      <c r="R346" s="626"/>
      <c r="S346" s="626"/>
      <c r="T346" s="618">
        <f t="shared" si="41"/>
        <v>0</v>
      </c>
    </row>
    <row r="347" spans="1:20">
      <c r="A347" s="617">
        <f t="shared" si="42"/>
        <v>44541</v>
      </c>
      <c r="B347" s="629">
        <f t="shared" si="38"/>
        <v>12</v>
      </c>
      <c r="C347" s="465">
        <f t="shared" si="39"/>
        <v>6</v>
      </c>
      <c r="D347" s="465" t="str">
        <f t="shared" si="40"/>
        <v>Festivo</v>
      </c>
      <c r="E347" s="626"/>
      <c r="F347" s="626"/>
      <c r="G347" s="626"/>
      <c r="H347" s="626"/>
      <c r="I347" s="626"/>
      <c r="J347" s="626"/>
      <c r="K347" s="626"/>
      <c r="L347" s="626"/>
      <c r="M347" s="626"/>
      <c r="N347" s="626"/>
      <c r="O347" s="626"/>
      <c r="P347" s="626"/>
      <c r="Q347" s="626"/>
      <c r="R347" s="626"/>
      <c r="S347" s="626"/>
      <c r="T347" s="618">
        <f t="shared" si="41"/>
        <v>0</v>
      </c>
    </row>
    <row r="348" spans="1:20">
      <c r="A348" s="617">
        <f t="shared" si="42"/>
        <v>44542</v>
      </c>
      <c r="B348" s="629">
        <f t="shared" si="38"/>
        <v>12</v>
      </c>
      <c r="C348" s="465">
        <f t="shared" si="39"/>
        <v>7</v>
      </c>
      <c r="D348" s="465" t="str">
        <f t="shared" si="40"/>
        <v>Festivo</v>
      </c>
      <c r="E348" s="626"/>
      <c r="F348" s="626"/>
      <c r="G348" s="626"/>
      <c r="H348" s="626"/>
      <c r="I348" s="626"/>
      <c r="J348" s="626"/>
      <c r="K348" s="626"/>
      <c r="L348" s="626"/>
      <c r="M348" s="626"/>
      <c r="N348" s="626"/>
      <c r="O348" s="626"/>
      <c r="P348" s="626"/>
      <c r="Q348" s="626"/>
      <c r="R348" s="626"/>
      <c r="S348" s="626"/>
      <c r="T348" s="618">
        <f t="shared" si="41"/>
        <v>0</v>
      </c>
    </row>
    <row r="349" spans="1:20">
      <c r="A349" s="617">
        <f t="shared" si="42"/>
        <v>44543</v>
      </c>
      <c r="B349" s="629">
        <f t="shared" si="38"/>
        <v>12</v>
      </c>
      <c r="C349" s="465">
        <f t="shared" si="39"/>
        <v>1</v>
      </c>
      <c r="D349" s="465" t="str">
        <f t="shared" si="40"/>
        <v>Laboral</v>
      </c>
      <c r="E349" s="626"/>
      <c r="F349" s="626"/>
      <c r="G349" s="626"/>
      <c r="H349" s="626"/>
      <c r="I349" s="626"/>
      <c r="J349" s="626"/>
      <c r="K349" s="626"/>
      <c r="L349" s="626"/>
      <c r="M349" s="626"/>
      <c r="N349" s="626"/>
      <c r="O349" s="626"/>
      <c r="P349" s="626"/>
      <c r="Q349" s="626"/>
      <c r="R349" s="626"/>
      <c r="S349" s="626"/>
      <c r="T349" s="618">
        <f t="shared" si="41"/>
        <v>0</v>
      </c>
    </row>
    <row r="350" spans="1:20">
      <c r="A350" s="617">
        <f t="shared" si="42"/>
        <v>44544</v>
      </c>
      <c r="B350" s="629">
        <f t="shared" si="38"/>
        <v>12</v>
      </c>
      <c r="C350" s="465">
        <f t="shared" si="39"/>
        <v>2</v>
      </c>
      <c r="D350" s="465" t="str">
        <f t="shared" si="40"/>
        <v>Laboral</v>
      </c>
      <c r="E350" s="626"/>
      <c r="F350" s="626"/>
      <c r="G350" s="626"/>
      <c r="H350" s="626"/>
      <c r="I350" s="626"/>
      <c r="J350" s="626"/>
      <c r="K350" s="626"/>
      <c r="L350" s="626"/>
      <c r="M350" s="626"/>
      <c r="N350" s="626"/>
      <c r="O350" s="626"/>
      <c r="P350" s="626"/>
      <c r="Q350" s="626"/>
      <c r="R350" s="626"/>
      <c r="S350" s="626"/>
      <c r="T350" s="618">
        <f t="shared" si="41"/>
        <v>0</v>
      </c>
    </row>
    <row r="351" spans="1:20">
      <c r="A351" s="617">
        <f t="shared" si="42"/>
        <v>44545</v>
      </c>
      <c r="B351" s="629">
        <f t="shared" si="38"/>
        <v>12</v>
      </c>
      <c r="C351" s="465">
        <f t="shared" si="39"/>
        <v>3</v>
      </c>
      <c r="D351" s="465" t="str">
        <f t="shared" si="40"/>
        <v>Laboral</v>
      </c>
      <c r="E351" s="626"/>
      <c r="F351" s="626"/>
      <c r="G351" s="626"/>
      <c r="H351" s="626"/>
      <c r="I351" s="626"/>
      <c r="J351" s="626"/>
      <c r="K351" s="626"/>
      <c r="L351" s="626"/>
      <c r="M351" s="626"/>
      <c r="N351" s="626"/>
      <c r="O351" s="626"/>
      <c r="P351" s="626"/>
      <c r="Q351" s="626"/>
      <c r="R351" s="626"/>
      <c r="S351" s="626"/>
      <c r="T351" s="618">
        <f t="shared" si="41"/>
        <v>0</v>
      </c>
    </row>
    <row r="352" spans="1:20">
      <c r="A352" s="617">
        <f t="shared" si="42"/>
        <v>44546</v>
      </c>
      <c r="B352" s="629">
        <f t="shared" si="38"/>
        <v>12</v>
      </c>
      <c r="C352" s="465">
        <f t="shared" si="39"/>
        <v>4</v>
      </c>
      <c r="D352" s="465" t="str">
        <f t="shared" si="40"/>
        <v>Laboral</v>
      </c>
      <c r="E352" s="626"/>
      <c r="F352" s="626"/>
      <c r="G352" s="626"/>
      <c r="H352" s="626"/>
      <c r="I352" s="626"/>
      <c r="J352" s="626"/>
      <c r="K352" s="626"/>
      <c r="L352" s="626"/>
      <c r="M352" s="626"/>
      <c r="N352" s="626"/>
      <c r="O352" s="626"/>
      <c r="P352" s="626"/>
      <c r="Q352" s="626"/>
      <c r="R352" s="626"/>
      <c r="S352" s="626"/>
      <c r="T352" s="618">
        <f t="shared" si="41"/>
        <v>0</v>
      </c>
    </row>
    <row r="353" spans="1:20">
      <c r="A353" s="617">
        <f t="shared" si="42"/>
        <v>44547</v>
      </c>
      <c r="B353" s="629">
        <f t="shared" si="38"/>
        <v>12</v>
      </c>
      <c r="C353" s="465">
        <f t="shared" si="39"/>
        <v>5</v>
      </c>
      <c r="D353" s="465" t="str">
        <f t="shared" si="40"/>
        <v>Laboral</v>
      </c>
      <c r="E353" s="626"/>
      <c r="F353" s="626"/>
      <c r="G353" s="626"/>
      <c r="H353" s="626"/>
      <c r="I353" s="626"/>
      <c r="J353" s="626"/>
      <c r="K353" s="626"/>
      <c r="L353" s="626"/>
      <c r="M353" s="626"/>
      <c r="N353" s="626"/>
      <c r="O353" s="626"/>
      <c r="P353" s="626"/>
      <c r="Q353" s="626"/>
      <c r="R353" s="626"/>
      <c r="S353" s="626"/>
      <c r="T353" s="618">
        <f t="shared" si="41"/>
        <v>0</v>
      </c>
    </row>
    <row r="354" spans="1:20">
      <c r="A354" s="617">
        <f t="shared" si="42"/>
        <v>44548</v>
      </c>
      <c r="B354" s="629">
        <f t="shared" si="38"/>
        <v>12</v>
      </c>
      <c r="C354" s="465">
        <f t="shared" si="39"/>
        <v>6</v>
      </c>
      <c r="D354" s="465" t="str">
        <f t="shared" si="40"/>
        <v>Festivo</v>
      </c>
      <c r="E354" s="626"/>
      <c r="F354" s="626"/>
      <c r="G354" s="626"/>
      <c r="H354" s="626"/>
      <c r="I354" s="626"/>
      <c r="J354" s="626"/>
      <c r="K354" s="626"/>
      <c r="L354" s="626"/>
      <c r="M354" s="626"/>
      <c r="N354" s="626"/>
      <c r="O354" s="626"/>
      <c r="P354" s="626"/>
      <c r="Q354" s="626"/>
      <c r="R354" s="626"/>
      <c r="S354" s="626"/>
      <c r="T354" s="618">
        <f t="shared" si="41"/>
        <v>0</v>
      </c>
    </row>
    <row r="355" spans="1:20">
      <c r="A355" s="617">
        <f t="shared" si="42"/>
        <v>44549</v>
      </c>
      <c r="B355" s="629">
        <f t="shared" si="38"/>
        <v>12</v>
      </c>
      <c r="C355" s="465">
        <f t="shared" si="39"/>
        <v>7</v>
      </c>
      <c r="D355" s="465" t="str">
        <f t="shared" si="40"/>
        <v>Festivo</v>
      </c>
      <c r="E355" s="626"/>
      <c r="F355" s="626"/>
      <c r="G355" s="626"/>
      <c r="H355" s="626"/>
      <c r="I355" s="626"/>
      <c r="J355" s="626"/>
      <c r="K355" s="626"/>
      <c r="L355" s="626"/>
      <c r="M355" s="626"/>
      <c r="N355" s="626"/>
      <c r="O355" s="626"/>
      <c r="P355" s="626"/>
      <c r="Q355" s="626"/>
      <c r="R355" s="626"/>
      <c r="S355" s="626"/>
      <c r="T355" s="618">
        <f t="shared" si="41"/>
        <v>0</v>
      </c>
    </row>
    <row r="356" spans="1:20">
      <c r="A356" s="617">
        <f t="shared" si="42"/>
        <v>44550</v>
      </c>
      <c r="B356" s="629">
        <f t="shared" si="38"/>
        <v>12</v>
      </c>
      <c r="C356" s="465">
        <f t="shared" si="39"/>
        <v>1</v>
      </c>
      <c r="D356" s="465" t="str">
        <f t="shared" si="40"/>
        <v>Laboral</v>
      </c>
      <c r="E356" s="626"/>
      <c r="F356" s="626"/>
      <c r="G356" s="626"/>
      <c r="H356" s="626"/>
      <c r="I356" s="626"/>
      <c r="J356" s="626"/>
      <c r="K356" s="626"/>
      <c r="L356" s="626"/>
      <c r="M356" s="626"/>
      <c r="N356" s="626"/>
      <c r="O356" s="626"/>
      <c r="P356" s="626"/>
      <c r="Q356" s="626"/>
      <c r="R356" s="626"/>
      <c r="S356" s="626"/>
      <c r="T356" s="618">
        <f t="shared" si="41"/>
        <v>0</v>
      </c>
    </row>
    <row r="357" spans="1:20">
      <c r="A357" s="617">
        <f t="shared" si="42"/>
        <v>44551</v>
      </c>
      <c r="B357" s="629">
        <f t="shared" si="38"/>
        <v>12</v>
      </c>
      <c r="C357" s="465">
        <f t="shared" si="39"/>
        <v>2</v>
      </c>
      <c r="D357" s="465" t="str">
        <f t="shared" si="40"/>
        <v>Laboral</v>
      </c>
      <c r="E357" s="626"/>
      <c r="F357" s="626"/>
      <c r="G357" s="626"/>
      <c r="H357" s="626"/>
      <c r="I357" s="626"/>
      <c r="J357" s="626"/>
      <c r="K357" s="626"/>
      <c r="L357" s="626"/>
      <c r="M357" s="626"/>
      <c r="N357" s="626"/>
      <c r="O357" s="626"/>
      <c r="P357" s="626"/>
      <c r="Q357" s="626"/>
      <c r="R357" s="626"/>
      <c r="S357" s="626"/>
      <c r="T357" s="618">
        <f t="shared" si="41"/>
        <v>0</v>
      </c>
    </row>
    <row r="358" spans="1:20">
      <c r="A358" s="617">
        <f t="shared" si="42"/>
        <v>44552</v>
      </c>
      <c r="B358" s="629">
        <f t="shared" si="38"/>
        <v>12</v>
      </c>
      <c r="C358" s="465">
        <f t="shared" si="39"/>
        <v>3</v>
      </c>
      <c r="D358" s="465" t="str">
        <f t="shared" si="40"/>
        <v>Laboral</v>
      </c>
      <c r="E358" s="626"/>
      <c r="F358" s="626"/>
      <c r="G358" s="626"/>
      <c r="H358" s="626"/>
      <c r="I358" s="626"/>
      <c r="J358" s="626"/>
      <c r="K358" s="626"/>
      <c r="L358" s="626"/>
      <c r="M358" s="626"/>
      <c r="N358" s="626"/>
      <c r="O358" s="626"/>
      <c r="P358" s="626"/>
      <c r="Q358" s="626"/>
      <c r="R358" s="626"/>
      <c r="S358" s="626"/>
      <c r="T358" s="618">
        <f t="shared" si="41"/>
        <v>0</v>
      </c>
    </row>
    <row r="359" spans="1:20">
      <c r="A359" s="617">
        <f t="shared" si="42"/>
        <v>44553</v>
      </c>
      <c r="B359" s="629">
        <f t="shared" si="38"/>
        <v>12</v>
      </c>
      <c r="C359" s="465">
        <f t="shared" si="39"/>
        <v>4</v>
      </c>
      <c r="D359" s="465" t="str">
        <f t="shared" si="40"/>
        <v>Laboral</v>
      </c>
      <c r="E359" s="626"/>
      <c r="F359" s="626"/>
      <c r="G359" s="626"/>
      <c r="H359" s="626"/>
      <c r="I359" s="626"/>
      <c r="J359" s="626"/>
      <c r="K359" s="626"/>
      <c r="L359" s="626"/>
      <c r="M359" s="626"/>
      <c r="N359" s="626"/>
      <c r="O359" s="626"/>
      <c r="P359" s="626"/>
      <c r="Q359" s="626"/>
      <c r="R359" s="626"/>
      <c r="S359" s="626"/>
      <c r="T359" s="618">
        <f t="shared" si="41"/>
        <v>0</v>
      </c>
    </row>
    <row r="360" spans="1:20">
      <c r="A360" s="617">
        <f t="shared" si="42"/>
        <v>44554</v>
      </c>
      <c r="B360" s="629">
        <f t="shared" si="38"/>
        <v>12</v>
      </c>
      <c r="C360" s="465">
        <f t="shared" si="39"/>
        <v>5</v>
      </c>
      <c r="D360" s="465" t="str">
        <f t="shared" si="40"/>
        <v>Laboral</v>
      </c>
      <c r="E360" s="626"/>
      <c r="F360" s="626"/>
      <c r="G360" s="626"/>
      <c r="H360" s="626"/>
      <c r="I360" s="626"/>
      <c r="J360" s="626"/>
      <c r="K360" s="626"/>
      <c r="L360" s="626"/>
      <c r="M360" s="626"/>
      <c r="N360" s="626"/>
      <c r="O360" s="626"/>
      <c r="P360" s="626"/>
      <c r="Q360" s="626"/>
      <c r="R360" s="626"/>
      <c r="S360" s="626"/>
      <c r="T360" s="618">
        <f t="shared" si="41"/>
        <v>0</v>
      </c>
    </row>
    <row r="361" spans="1:20">
      <c r="A361" s="617">
        <f t="shared" si="42"/>
        <v>44555</v>
      </c>
      <c r="B361" s="629">
        <f t="shared" si="38"/>
        <v>12</v>
      </c>
      <c r="C361" s="465">
        <f t="shared" si="39"/>
        <v>6</v>
      </c>
      <c r="D361" s="465" t="str">
        <f t="shared" si="40"/>
        <v>Festivo</v>
      </c>
      <c r="E361" s="626"/>
      <c r="F361" s="626"/>
      <c r="G361" s="626"/>
      <c r="H361" s="626"/>
      <c r="I361" s="626"/>
      <c r="J361" s="626"/>
      <c r="K361" s="626"/>
      <c r="L361" s="626"/>
      <c r="M361" s="626"/>
      <c r="N361" s="626"/>
      <c r="O361" s="626"/>
      <c r="P361" s="626"/>
      <c r="Q361" s="626"/>
      <c r="R361" s="626"/>
      <c r="S361" s="626"/>
      <c r="T361" s="618">
        <f t="shared" si="41"/>
        <v>0</v>
      </c>
    </row>
    <row r="362" spans="1:20">
      <c r="A362" s="617">
        <f t="shared" si="42"/>
        <v>44556</v>
      </c>
      <c r="B362" s="629">
        <f t="shared" si="38"/>
        <v>12</v>
      </c>
      <c r="C362" s="465">
        <f t="shared" si="39"/>
        <v>7</v>
      </c>
      <c r="D362" s="465" t="str">
        <f t="shared" si="40"/>
        <v>Festivo</v>
      </c>
      <c r="E362" s="626"/>
      <c r="F362" s="626"/>
      <c r="G362" s="626"/>
      <c r="H362" s="626"/>
      <c r="I362" s="626"/>
      <c r="J362" s="626"/>
      <c r="K362" s="626"/>
      <c r="L362" s="626"/>
      <c r="M362" s="626"/>
      <c r="N362" s="626"/>
      <c r="O362" s="626"/>
      <c r="P362" s="626"/>
      <c r="Q362" s="626"/>
      <c r="R362" s="626"/>
      <c r="S362" s="626"/>
      <c r="T362" s="618">
        <f t="shared" si="41"/>
        <v>0</v>
      </c>
    </row>
    <row r="363" spans="1:20">
      <c r="A363" s="617">
        <f t="shared" si="42"/>
        <v>44557</v>
      </c>
      <c r="B363" s="629">
        <f t="shared" si="38"/>
        <v>12</v>
      </c>
      <c r="C363" s="465">
        <f t="shared" si="39"/>
        <v>1</v>
      </c>
      <c r="D363" s="465" t="str">
        <f t="shared" si="40"/>
        <v>Laboral</v>
      </c>
      <c r="E363" s="626"/>
      <c r="F363" s="626"/>
      <c r="G363" s="626"/>
      <c r="H363" s="626"/>
      <c r="I363" s="626"/>
      <c r="J363" s="626"/>
      <c r="K363" s="626"/>
      <c r="L363" s="626"/>
      <c r="M363" s="626"/>
      <c r="N363" s="626"/>
      <c r="O363" s="626"/>
      <c r="P363" s="626"/>
      <c r="Q363" s="626"/>
      <c r="R363" s="626"/>
      <c r="S363" s="626"/>
      <c r="T363" s="618">
        <f t="shared" si="41"/>
        <v>0</v>
      </c>
    </row>
    <row r="364" spans="1:20">
      <c r="A364" s="617">
        <f t="shared" si="42"/>
        <v>44558</v>
      </c>
      <c r="B364" s="629">
        <f t="shared" si="38"/>
        <v>12</v>
      </c>
      <c r="C364" s="465">
        <f t="shared" si="39"/>
        <v>2</v>
      </c>
      <c r="D364" s="465" t="str">
        <f t="shared" si="40"/>
        <v>Laboral</v>
      </c>
      <c r="E364" s="626"/>
      <c r="F364" s="626"/>
      <c r="G364" s="626"/>
      <c r="H364" s="626"/>
      <c r="I364" s="626"/>
      <c r="J364" s="626"/>
      <c r="K364" s="626"/>
      <c r="L364" s="626"/>
      <c r="M364" s="626"/>
      <c r="N364" s="626"/>
      <c r="O364" s="626"/>
      <c r="P364" s="626"/>
      <c r="Q364" s="626"/>
      <c r="R364" s="626"/>
      <c r="S364" s="626"/>
      <c r="T364" s="618">
        <f t="shared" si="41"/>
        <v>0</v>
      </c>
    </row>
    <row r="365" spans="1:20">
      <c r="A365" s="617">
        <f t="shared" si="42"/>
        <v>44559</v>
      </c>
      <c r="B365" s="629">
        <f>MONTH(A365)</f>
        <v>12</v>
      </c>
      <c r="C365" s="465">
        <f t="shared" si="39"/>
        <v>3</v>
      </c>
      <c r="D365" s="465" t="str">
        <f t="shared" si="40"/>
        <v>Laboral</v>
      </c>
      <c r="E365" s="626"/>
      <c r="F365" s="626"/>
      <c r="G365" s="626"/>
      <c r="H365" s="626"/>
      <c r="I365" s="626"/>
      <c r="J365" s="626"/>
      <c r="K365" s="626"/>
      <c r="L365" s="626"/>
      <c r="M365" s="626"/>
      <c r="N365" s="626"/>
      <c r="O365" s="626"/>
      <c r="P365" s="626"/>
      <c r="Q365" s="626"/>
      <c r="R365" s="626"/>
      <c r="S365" s="626"/>
      <c r="T365" s="618">
        <f t="shared" si="41"/>
        <v>0</v>
      </c>
    </row>
    <row r="366" spans="1:20">
      <c r="A366" s="617">
        <f t="shared" si="42"/>
        <v>44560</v>
      </c>
      <c r="B366" s="629">
        <f t="shared" si="38"/>
        <v>12</v>
      </c>
      <c r="C366" s="465">
        <f t="shared" si="39"/>
        <v>4</v>
      </c>
      <c r="D366" s="465" t="str">
        <f t="shared" si="40"/>
        <v>Laboral</v>
      </c>
      <c r="E366" s="626"/>
      <c r="F366" s="626"/>
      <c r="G366" s="626"/>
      <c r="H366" s="626"/>
      <c r="I366" s="626"/>
      <c r="J366" s="626"/>
      <c r="K366" s="626"/>
      <c r="L366" s="626"/>
      <c r="M366" s="626"/>
      <c r="N366" s="626"/>
      <c r="O366" s="626"/>
      <c r="P366" s="626"/>
      <c r="Q366" s="626"/>
      <c r="R366" s="626"/>
      <c r="S366" s="626"/>
      <c r="T366" s="618">
        <f t="shared" si="41"/>
        <v>0</v>
      </c>
    </row>
    <row r="367" spans="1:20">
      <c r="A367" s="617">
        <f t="shared" si="42"/>
        <v>44561</v>
      </c>
      <c r="B367" s="629">
        <f t="shared" si="38"/>
        <v>12</v>
      </c>
      <c r="C367" s="465">
        <f t="shared" si="39"/>
        <v>5</v>
      </c>
      <c r="D367" s="465" t="str">
        <f t="shared" si="40"/>
        <v>Laboral</v>
      </c>
      <c r="E367" s="626"/>
      <c r="F367" s="626"/>
      <c r="G367" s="626"/>
      <c r="H367" s="626"/>
      <c r="I367" s="626"/>
      <c r="J367" s="626"/>
      <c r="K367" s="626"/>
      <c r="L367" s="626"/>
      <c r="M367" s="626"/>
      <c r="N367" s="626"/>
      <c r="O367" s="626"/>
      <c r="P367" s="626"/>
      <c r="Q367" s="626"/>
      <c r="R367" s="626"/>
      <c r="S367" s="626"/>
      <c r="T367" s="618">
        <f t="shared" si="41"/>
        <v>0</v>
      </c>
    </row>
    <row r="369" spans="4:23" ht="15.75">
      <c r="E369" s="1263" t="s">
        <v>603</v>
      </c>
      <c r="F369" s="1263"/>
      <c r="G369" s="1263"/>
      <c r="H369" s="1263"/>
      <c r="I369" s="1263"/>
      <c r="J369" s="1263"/>
      <c r="K369" s="1263"/>
      <c r="L369" s="1263"/>
      <c r="M369" s="1263"/>
      <c r="N369" s="1263"/>
      <c r="O369" s="1263"/>
      <c r="P369" s="1263"/>
    </row>
    <row r="370" spans="4:23">
      <c r="E370" s="673">
        <f>MONTH(E371)</f>
        <v>1</v>
      </c>
      <c r="F370" s="673">
        <f>MONTH(F371)</f>
        <v>2</v>
      </c>
      <c r="G370" s="673">
        <f t="shared" ref="G370:P370" si="43">MONTH(G371)</f>
        <v>3</v>
      </c>
      <c r="H370" s="673">
        <f t="shared" si="43"/>
        <v>4</v>
      </c>
      <c r="I370" s="673">
        <f t="shared" si="43"/>
        <v>5</v>
      </c>
      <c r="J370" s="673">
        <f t="shared" si="43"/>
        <v>6</v>
      </c>
      <c r="K370" s="673">
        <f t="shared" si="43"/>
        <v>7</v>
      </c>
      <c r="L370" s="673">
        <f t="shared" si="43"/>
        <v>8</v>
      </c>
      <c r="M370" s="673">
        <f t="shared" si="43"/>
        <v>9</v>
      </c>
      <c r="N370" s="673">
        <f t="shared" si="43"/>
        <v>10</v>
      </c>
      <c r="O370" s="673">
        <f t="shared" si="43"/>
        <v>11</v>
      </c>
      <c r="P370" s="673">
        <f t="shared" si="43"/>
        <v>12</v>
      </c>
    </row>
    <row r="371" spans="4:23" ht="18.75">
      <c r="D371" s="462" t="s">
        <v>602</v>
      </c>
      <c r="E371" s="290">
        <f>(+Ventas!E42)</f>
        <v>44197</v>
      </c>
      <c r="F371" s="290">
        <f>(+Ventas!F42)</f>
        <v>44228</v>
      </c>
      <c r="G371" s="290">
        <f>(+Ventas!G42)</f>
        <v>44256</v>
      </c>
      <c r="H371" s="290">
        <f>(+Ventas!H42)</f>
        <v>44287</v>
      </c>
      <c r="I371" s="290">
        <f>(+Ventas!I42)</f>
        <v>44317</v>
      </c>
      <c r="J371" s="290">
        <f>(+Ventas!J42)</f>
        <v>44348</v>
      </c>
      <c r="K371" s="290">
        <f>(+Ventas!K42)</f>
        <v>44378</v>
      </c>
      <c r="L371" s="290">
        <f>(+Ventas!L42)</f>
        <v>44409</v>
      </c>
      <c r="M371" s="290">
        <f>(+Ventas!M42)</f>
        <v>44440</v>
      </c>
      <c r="N371" s="290">
        <f>(+Ventas!N42)</f>
        <v>44470</v>
      </c>
      <c r="O371" s="290">
        <f>(+Ventas!O42)</f>
        <v>44501</v>
      </c>
      <c r="P371" s="290">
        <f>(+Ventas!P42)</f>
        <v>44531</v>
      </c>
    </row>
    <row r="372" spans="4:23">
      <c r="D372" s="469">
        <f>+Catálogo!B6</f>
        <v>0</v>
      </c>
      <c r="E372" s="465">
        <f>SUMIF($B$3:$B$367,E$370,$E$3:$E$367)</f>
        <v>0</v>
      </c>
      <c r="F372" s="465">
        <f t="shared" ref="F372:P372" si="44">SUMIF($B$3:$B$367,F$370,$E$3:$E$367)</f>
        <v>0</v>
      </c>
      <c r="G372" s="465">
        <f t="shared" si="44"/>
        <v>0</v>
      </c>
      <c r="H372" s="465">
        <f t="shared" si="44"/>
        <v>0</v>
      </c>
      <c r="I372" s="465">
        <f t="shared" si="44"/>
        <v>0</v>
      </c>
      <c r="J372" s="465">
        <f t="shared" si="44"/>
        <v>0</v>
      </c>
      <c r="K372" s="465">
        <f t="shared" si="44"/>
        <v>0</v>
      </c>
      <c r="L372" s="465">
        <f t="shared" si="44"/>
        <v>0</v>
      </c>
      <c r="M372" s="465">
        <f t="shared" si="44"/>
        <v>0</v>
      </c>
      <c r="N372" s="465">
        <f t="shared" si="44"/>
        <v>0</v>
      </c>
      <c r="O372" s="465">
        <f t="shared" si="44"/>
        <v>0</v>
      </c>
      <c r="P372" s="465">
        <f t="shared" si="44"/>
        <v>0</v>
      </c>
    </row>
    <row r="373" spans="4:23">
      <c r="D373" s="469">
        <f>+Catálogo!B7</f>
        <v>0</v>
      </c>
      <c r="E373" s="465">
        <f>SUMIF($B$3:$B$367,E$370,$F$3:$F$367)</f>
        <v>0</v>
      </c>
      <c r="F373" s="465">
        <f t="shared" ref="F373:P373" si="45">SUMIF($B$3:$B$367,F$370,$F$3:$F$367)</f>
        <v>0</v>
      </c>
      <c r="G373" s="465">
        <f t="shared" si="45"/>
        <v>0</v>
      </c>
      <c r="H373" s="465">
        <f t="shared" si="45"/>
        <v>0</v>
      </c>
      <c r="I373" s="465">
        <f t="shared" si="45"/>
        <v>0</v>
      </c>
      <c r="J373" s="465">
        <f t="shared" si="45"/>
        <v>0</v>
      </c>
      <c r="K373" s="465">
        <f t="shared" si="45"/>
        <v>0</v>
      </c>
      <c r="L373" s="465">
        <f t="shared" si="45"/>
        <v>0</v>
      </c>
      <c r="M373" s="465">
        <f t="shared" si="45"/>
        <v>0</v>
      </c>
      <c r="N373" s="465">
        <f t="shared" si="45"/>
        <v>0</v>
      </c>
      <c r="O373" s="465">
        <f t="shared" si="45"/>
        <v>0</v>
      </c>
      <c r="P373" s="465">
        <f t="shared" si="45"/>
        <v>0</v>
      </c>
    </row>
    <row r="374" spans="4:23">
      <c r="D374" s="469">
        <f>+Catálogo!B8</f>
        <v>0</v>
      </c>
      <c r="E374" s="465">
        <f>SUMIF($B$3:$B$367,E$370,$G$3:$G$367)</f>
        <v>0</v>
      </c>
      <c r="F374" s="465">
        <f t="shared" ref="F374:P374" si="46">SUMIF($B$3:$B$367,F$370,$G$3:$G$367)</f>
        <v>0</v>
      </c>
      <c r="G374" s="465">
        <f t="shared" si="46"/>
        <v>0</v>
      </c>
      <c r="H374" s="465">
        <f t="shared" si="46"/>
        <v>0</v>
      </c>
      <c r="I374" s="465">
        <f t="shared" si="46"/>
        <v>0</v>
      </c>
      <c r="J374" s="465">
        <f t="shared" si="46"/>
        <v>0</v>
      </c>
      <c r="K374" s="465">
        <f t="shared" si="46"/>
        <v>0</v>
      </c>
      <c r="L374" s="465">
        <f t="shared" si="46"/>
        <v>0</v>
      </c>
      <c r="M374" s="465">
        <f t="shared" si="46"/>
        <v>0</v>
      </c>
      <c r="N374" s="465">
        <f t="shared" si="46"/>
        <v>0</v>
      </c>
      <c r="O374" s="465">
        <f t="shared" si="46"/>
        <v>0</v>
      </c>
      <c r="P374" s="465">
        <f t="shared" si="46"/>
        <v>0</v>
      </c>
    </row>
    <row r="375" spans="4:23">
      <c r="D375" s="469">
        <f>+Catálogo!B9</f>
        <v>0</v>
      </c>
      <c r="E375" s="465">
        <f>SUMIF($B$3:$B$367,E$370,$H$3:$H$367)</f>
        <v>0</v>
      </c>
      <c r="F375" s="465">
        <f t="shared" ref="F375:P375" si="47">SUMIF($B$3:$B$367,F$370,$H$3:$H$367)</f>
        <v>0</v>
      </c>
      <c r="G375" s="465">
        <f t="shared" si="47"/>
        <v>0</v>
      </c>
      <c r="H375" s="465">
        <f t="shared" si="47"/>
        <v>0</v>
      </c>
      <c r="I375" s="465">
        <f t="shared" si="47"/>
        <v>0</v>
      </c>
      <c r="J375" s="465">
        <f t="shared" si="47"/>
        <v>0</v>
      </c>
      <c r="K375" s="465">
        <f t="shared" si="47"/>
        <v>0</v>
      </c>
      <c r="L375" s="465">
        <f t="shared" si="47"/>
        <v>0</v>
      </c>
      <c r="M375" s="465">
        <f t="shared" si="47"/>
        <v>0</v>
      </c>
      <c r="N375" s="465">
        <f t="shared" si="47"/>
        <v>0</v>
      </c>
      <c r="O375" s="465">
        <f t="shared" si="47"/>
        <v>0</v>
      </c>
      <c r="P375" s="465">
        <f t="shared" si="47"/>
        <v>0</v>
      </c>
    </row>
    <row r="376" spans="4:23">
      <c r="D376" s="469">
        <f>+Catálogo!B10</f>
        <v>0</v>
      </c>
      <c r="E376" s="465">
        <f>SUMIF($B$3:$B$367,E$370,$I$3:$I$367)</f>
        <v>0</v>
      </c>
      <c r="F376" s="465">
        <f t="shared" ref="F376:P376" si="48">SUMIF($B$3:$B$367,F$370,$I$3:$I$367)</f>
        <v>0</v>
      </c>
      <c r="G376" s="465">
        <f t="shared" si="48"/>
        <v>0</v>
      </c>
      <c r="H376" s="465">
        <f t="shared" si="48"/>
        <v>0</v>
      </c>
      <c r="I376" s="465">
        <f t="shared" si="48"/>
        <v>0</v>
      </c>
      <c r="J376" s="465">
        <f t="shared" si="48"/>
        <v>0</v>
      </c>
      <c r="K376" s="465">
        <f t="shared" si="48"/>
        <v>0</v>
      </c>
      <c r="L376" s="465">
        <f t="shared" si="48"/>
        <v>0</v>
      </c>
      <c r="M376" s="465">
        <f t="shared" si="48"/>
        <v>0</v>
      </c>
      <c r="N376" s="465">
        <f t="shared" si="48"/>
        <v>0</v>
      </c>
      <c r="O376" s="465">
        <f t="shared" si="48"/>
        <v>0</v>
      </c>
      <c r="P376" s="465">
        <f t="shared" si="48"/>
        <v>0</v>
      </c>
    </row>
    <row r="377" spans="4:23">
      <c r="D377" s="469">
        <f>+Catálogo!B11</f>
        <v>0</v>
      </c>
      <c r="E377" s="465">
        <f>SUMIF($B$3:$B$367,E$370,$J$3:$J$367)</f>
        <v>0</v>
      </c>
      <c r="F377" s="465">
        <f t="shared" ref="F377:P377" si="49">SUMIF($B$3:$B$367,F$370,$J$3:$J$367)</f>
        <v>0</v>
      </c>
      <c r="G377" s="465">
        <f t="shared" si="49"/>
        <v>0</v>
      </c>
      <c r="H377" s="465">
        <f t="shared" si="49"/>
        <v>0</v>
      </c>
      <c r="I377" s="465">
        <f t="shared" si="49"/>
        <v>0</v>
      </c>
      <c r="J377" s="465">
        <f t="shared" si="49"/>
        <v>0</v>
      </c>
      <c r="K377" s="465">
        <f t="shared" si="49"/>
        <v>0</v>
      </c>
      <c r="L377" s="465">
        <f t="shared" si="49"/>
        <v>0</v>
      </c>
      <c r="M377" s="465">
        <f t="shared" si="49"/>
        <v>0</v>
      </c>
      <c r="N377" s="465">
        <f t="shared" si="49"/>
        <v>0</v>
      </c>
      <c r="O377" s="465">
        <f t="shared" si="49"/>
        <v>0</v>
      </c>
      <c r="P377" s="465">
        <f t="shared" si="49"/>
        <v>0</v>
      </c>
    </row>
    <row r="378" spans="4:23">
      <c r="D378" s="469">
        <f>+Catálogo!B12</f>
        <v>0</v>
      </c>
      <c r="E378" s="465">
        <f>SUMIF($B$3:$B$367,E$370,$K$3:$K$367)</f>
        <v>0</v>
      </c>
      <c r="F378" s="465">
        <f t="shared" ref="F378:P378" si="50">SUMIF($B$3:$B$367,F$370,$K$3:$K$367)</f>
        <v>0</v>
      </c>
      <c r="G378" s="465">
        <f t="shared" si="50"/>
        <v>0</v>
      </c>
      <c r="H378" s="465">
        <f t="shared" si="50"/>
        <v>0</v>
      </c>
      <c r="I378" s="465">
        <f t="shared" si="50"/>
        <v>0</v>
      </c>
      <c r="J378" s="465">
        <f t="shared" si="50"/>
        <v>0</v>
      </c>
      <c r="K378" s="465">
        <f t="shared" si="50"/>
        <v>0</v>
      </c>
      <c r="L378" s="465">
        <f t="shared" si="50"/>
        <v>0</v>
      </c>
      <c r="M378" s="465">
        <f t="shared" si="50"/>
        <v>0</v>
      </c>
      <c r="N378" s="465">
        <f t="shared" si="50"/>
        <v>0</v>
      </c>
      <c r="O378" s="465">
        <f t="shared" si="50"/>
        <v>0</v>
      </c>
      <c r="P378" s="465">
        <f t="shared" si="50"/>
        <v>0</v>
      </c>
    </row>
    <row r="379" spans="4:23">
      <c r="D379" s="469">
        <f>+Catálogo!B13</f>
        <v>0</v>
      </c>
      <c r="E379" s="465">
        <f>SUMIF($B$3:$B$367,E$370,$L$3:$L$367)</f>
        <v>0</v>
      </c>
      <c r="F379" s="465">
        <f t="shared" ref="F379:P379" si="51">SUMIF($B$3:$B$367,F$370,$L$3:$L$367)</f>
        <v>0</v>
      </c>
      <c r="G379" s="465">
        <f t="shared" si="51"/>
        <v>0</v>
      </c>
      <c r="H379" s="465">
        <f t="shared" si="51"/>
        <v>0</v>
      </c>
      <c r="I379" s="465">
        <f t="shared" si="51"/>
        <v>0</v>
      </c>
      <c r="J379" s="465">
        <f t="shared" si="51"/>
        <v>0</v>
      </c>
      <c r="K379" s="465">
        <f t="shared" si="51"/>
        <v>0</v>
      </c>
      <c r="L379" s="465">
        <f t="shared" si="51"/>
        <v>0</v>
      </c>
      <c r="M379" s="465">
        <f t="shared" si="51"/>
        <v>0</v>
      </c>
      <c r="N379" s="465">
        <f t="shared" si="51"/>
        <v>0</v>
      </c>
      <c r="O379" s="465">
        <f t="shared" si="51"/>
        <v>0</v>
      </c>
      <c r="P379" s="465">
        <f t="shared" si="51"/>
        <v>0</v>
      </c>
    </row>
    <row r="380" spans="4:23">
      <c r="D380" s="469">
        <f>+Catálogo!B14</f>
        <v>0</v>
      </c>
      <c r="E380" s="465">
        <f>SUMIF($B$3:$B$367,E$370,$M$3:$M$367)</f>
        <v>0</v>
      </c>
      <c r="F380" s="465">
        <f t="shared" ref="F380:P380" si="52">SUMIF($B$3:$B$367,F$370,$M$3:$M$367)</f>
        <v>0</v>
      </c>
      <c r="G380" s="465">
        <f t="shared" si="52"/>
        <v>0</v>
      </c>
      <c r="H380" s="465">
        <f t="shared" si="52"/>
        <v>0</v>
      </c>
      <c r="I380" s="465">
        <f t="shared" si="52"/>
        <v>0</v>
      </c>
      <c r="J380" s="465">
        <f t="shared" si="52"/>
        <v>0</v>
      </c>
      <c r="K380" s="465">
        <f t="shared" si="52"/>
        <v>0</v>
      </c>
      <c r="L380" s="465">
        <f t="shared" si="52"/>
        <v>0</v>
      </c>
      <c r="M380" s="465">
        <f t="shared" si="52"/>
        <v>0</v>
      </c>
      <c r="N380" s="465">
        <f t="shared" si="52"/>
        <v>0</v>
      </c>
      <c r="O380" s="465">
        <f t="shared" si="52"/>
        <v>0</v>
      </c>
      <c r="P380" s="465">
        <f t="shared" si="52"/>
        <v>0</v>
      </c>
    </row>
    <row r="381" spans="4:23">
      <c r="D381" s="469">
        <f>+Catálogo!B15</f>
        <v>0</v>
      </c>
      <c r="E381" s="465">
        <f>SUMIF($B$3:$B$367,E$370,$N$3:$N$367)</f>
        <v>0</v>
      </c>
      <c r="F381" s="465">
        <f t="shared" ref="F381:P381" si="53">SUMIF($B$3:$B$367,F$370,$N$3:$N$367)</f>
        <v>0</v>
      </c>
      <c r="G381" s="465">
        <f t="shared" si="53"/>
        <v>0</v>
      </c>
      <c r="H381" s="465">
        <f t="shared" si="53"/>
        <v>0</v>
      </c>
      <c r="I381" s="465">
        <f t="shared" si="53"/>
        <v>0</v>
      </c>
      <c r="J381" s="465">
        <f t="shared" si="53"/>
        <v>0</v>
      </c>
      <c r="K381" s="465">
        <f t="shared" si="53"/>
        <v>0</v>
      </c>
      <c r="L381" s="465">
        <f t="shared" si="53"/>
        <v>0</v>
      </c>
      <c r="M381" s="465">
        <f t="shared" si="53"/>
        <v>0</v>
      </c>
      <c r="N381" s="465">
        <f t="shared" si="53"/>
        <v>0</v>
      </c>
      <c r="O381" s="465">
        <f t="shared" si="53"/>
        <v>0</v>
      </c>
      <c r="P381" s="465">
        <f t="shared" si="53"/>
        <v>0</v>
      </c>
      <c r="W381" s="465" t="s">
        <v>46</v>
      </c>
    </row>
    <row r="382" spans="4:23">
      <c r="D382" s="469">
        <f>+Catálogo!B16</f>
        <v>0</v>
      </c>
      <c r="E382" s="465">
        <f>SUMIF($B$3:$B$367,E$370,$O$3:$O$367)</f>
        <v>0</v>
      </c>
      <c r="F382" s="465">
        <f t="shared" ref="F382:P382" si="54">SUMIF($B$3:$B$367,F$370,$O$3:$O$367)</f>
        <v>0</v>
      </c>
      <c r="G382" s="465">
        <f t="shared" si="54"/>
        <v>0</v>
      </c>
      <c r="H382" s="465">
        <f t="shared" si="54"/>
        <v>0</v>
      </c>
      <c r="I382" s="465">
        <f t="shared" si="54"/>
        <v>0</v>
      </c>
      <c r="J382" s="465">
        <f t="shared" si="54"/>
        <v>0</v>
      </c>
      <c r="K382" s="465">
        <f t="shared" si="54"/>
        <v>0</v>
      </c>
      <c r="L382" s="465">
        <f t="shared" si="54"/>
        <v>0</v>
      </c>
      <c r="M382" s="465">
        <f t="shared" si="54"/>
        <v>0</v>
      </c>
      <c r="N382" s="465">
        <f t="shared" si="54"/>
        <v>0</v>
      </c>
      <c r="O382" s="465">
        <f t="shared" si="54"/>
        <v>0</v>
      </c>
      <c r="P382" s="465">
        <f t="shared" si="54"/>
        <v>0</v>
      </c>
    </row>
    <row r="383" spans="4:23">
      <c r="D383" s="469">
        <f>+Catálogo!B17</f>
        <v>0</v>
      </c>
      <c r="E383" s="465">
        <f>SUMIF($B$3:$B$367,E$370,$P$3:$P$367)</f>
        <v>0</v>
      </c>
      <c r="F383" s="465">
        <f t="shared" ref="F383:P383" si="55">SUMIF($B$3:$B$367,F$370,$P$3:$P$367)</f>
        <v>0</v>
      </c>
      <c r="G383" s="465">
        <f t="shared" si="55"/>
        <v>0</v>
      </c>
      <c r="H383" s="465">
        <f t="shared" si="55"/>
        <v>0</v>
      </c>
      <c r="I383" s="465">
        <f t="shared" si="55"/>
        <v>0</v>
      </c>
      <c r="J383" s="465">
        <f t="shared" si="55"/>
        <v>0</v>
      </c>
      <c r="K383" s="465">
        <f t="shared" si="55"/>
        <v>0</v>
      </c>
      <c r="L383" s="465">
        <f t="shared" si="55"/>
        <v>0</v>
      </c>
      <c r="M383" s="465">
        <f t="shared" si="55"/>
        <v>0</v>
      </c>
      <c r="N383" s="465">
        <f t="shared" si="55"/>
        <v>0</v>
      </c>
      <c r="O383" s="465">
        <f t="shared" si="55"/>
        <v>0</v>
      </c>
      <c r="P383" s="465">
        <f t="shared" si="55"/>
        <v>0</v>
      </c>
    </row>
    <row r="384" spans="4:23">
      <c r="D384" s="469">
        <f>+Catálogo!B18</f>
        <v>0</v>
      </c>
      <c r="E384" s="465">
        <f>SUMIF($B$3:$B$367,E$370,$Q$3:$Q$367)</f>
        <v>0</v>
      </c>
      <c r="F384" s="465">
        <f t="shared" ref="F384:P384" si="56">SUMIF($B$3:$B$367,F$370,$Q$3:$Q$367)</f>
        <v>0</v>
      </c>
      <c r="G384" s="465">
        <f t="shared" si="56"/>
        <v>0</v>
      </c>
      <c r="H384" s="465">
        <f t="shared" si="56"/>
        <v>0</v>
      </c>
      <c r="I384" s="465">
        <f t="shared" si="56"/>
        <v>0</v>
      </c>
      <c r="J384" s="465">
        <f t="shared" si="56"/>
        <v>0</v>
      </c>
      <c r="K384" s="465">
        <f t="shared" si="56"/>
        <v>0</v>
      </c>
      <c r="L384" s="465">
        <f t="shared" si="56"/>
        <v>0</v>
      </c>
      <c r="M384" s="465">
        <f t="shared" si="56"/>
        <v>0</v>
      </c>
      <c r="N384" s="465">
        <f t="shared" si="56"/>
        <v>0</v>
      </c>
      <c r="O384" s="465">
        <f t="shared" si="56"/>
        <v>0</v>
      </c>
      <c r="P384" s="465">
        <f t="shared" si="56"/>
        <v>0</v>
      </c>
    </row>
    <row r="385" spans="4:16">
      <c r="D385" s="469">
        <f>+Catálogo!B19</f>
        <v>0</v>
      </c>
      <c r="E385" s="465">
        <f>SUMIF($B$3:$B367,E$370,$R$3:$R$367)</f>
        <v>0</v>
      </c>
      <c r="F385" s="465">
        <f>SUMIF($B$3:$B367,F$370,$R$3:$R$367)</f>
        <v>0</v>
      </c>
      <c r="G385" s="465">
        <f>SUMIF($B$3:$B367,G$370,$R$3:$R$367)</f>
        <v>0</v>
      </c>
      <c r="H385" s="465">
        <f>SUMIF($B$3:$B367,H$370,$R$3:$R$367)</f>
        <v>0</v>
      </c>
      <c r="I385" s="465">
        <f>SUMIF($B$3:$B367,I$370,$R$3:$R$367)</f>
        <v>0</v>
      </c>
      <c r="J385" s="465">
        <f>SUMIF($B$3:$B367,J$370,$R$3:$R$367)</f>
        <v>0</v>
      </c>
      <c r="K385" s="465">
        <f>SUMIF($B$3:$B367,K$370,$R$3:$R$367)</f>
        <v>0</v>
      </c>
      <c r="L385" s="465">
        <f>SUMIF($B$3:$B367,L$370,$R$3:$R$367)</f>
        <v>0</v>
      </c>
      <c r="M385" s="465">
        <f>SUMIF($B$3:$B367,M$370,$R$3:$R$367)</f>
        <v>0</v>
      </c>
      <c r="N385" s="465">
        <f>SUMIF($B$3:$B367,N$370,$R$3:$R$367)</f>
        <v>0</v>
      </c>
      <c r="O385" s="465">
        <f>SUMIF($B$3:$B367,O$370,$R$3:$R$367)</f>
        <v>0</v>
      </c>
      <c r="P385" s="465">
        <f>SUMIF($B$3:$B367,P$370,$R$3:$R$367)</f>
        <v>0</v>
      </c>
    </row>
    <row r="386" spans="4:16">
      <c r="D386" s="469">
        <f>+Catálogo!B20</f>
        <v>0</v>
      </c>
      <c r="E386" s="465">
        <f>SUMIF($B$3:$B$367,E$370,$S$3:$S$367)</f>
        <v>0</v>
      </c>
      <c r="F386" s="465">
        <f t="shared" ref="F386:P386" si="57">SUMIF($B$3:$B$367,F$370,$S$3:$S$367)</f>
        <v>0</v>
      </c>
      <c r="G386" s="465">
        <f t="shared" si="57"/>
        <v>0</v>
      </c>
      <c r="H386" s="465">
        <f t="shared" si="57"/>
        <v>0</v>
      </c>
      <c r="I386" s="465">
        <f t="shared" si="57"/>
        <v>0</v>
      </c>
      <c r="J386" s="465">
        <f t="shared" si="57"/>
        <v>0</v>
      </c>
      <c r="K386" s="465">
        <f t="shared" si="57"/>
        <v>0</v>
      </c>
      <c r="L386" s="465">
        <f t="shared" si="57"/>
        <v>0</v>
      </c>
      <c r="M386" s="465">
        <f t="shared" si="57"/>
        <v>0</v>
      </c>
      <c r="N386" s="465">
        <f t="shared" si="57"/>
        <v>0</v>
      </c>
      <c r="O386" s="465">
        <f t="shared" si="57"/>
        <v>0</v>
      </c>
      <c r="P386" s="465">
        <f t="shared" si="57"/>
        <v>0</v>
      </c>
    </row>
    <row r="387" spans="4:16">
      <c r="D387" s="469"/>
    </row>
    <row r="388" spans="4:16">
      <c r="D388" s="469"/>
    </row>
  </sheetData>
  <autoFilter ref="A2:T367" xr:uid="{00000000-0009-0000-0000-00000B000000}"/>
  <mergeCells count="1">
    <mergeCell ref="E369:P369"/>
  </mergeCells>
  <conditionalFormatting sqref="E1 G1:S1 D1:D2 T1:U2 E2:S2 D371 Q371:U371 D369:E369 Q369:U369 D370:U370 D372:U1048576 D3:U368">
    <cfRule type="cellIs" dxfId="370" priority="5" operator="equal">
      <formula>"Laboral"</formula>
    </cfRule>
    <cfRule type="cellIs" dxfId="369" priority="6" operator="equal">
      <formula>"Festivo"</formula>
    </cfRule>
  </conditionalFormatting>
  <conditionalFormatting sqref="F1">
    <cfRule type="cellIs" dxfId="368" priority="3" operator="equal">
      <formula>"Laboral"</formula>
    </cfRule>
    <cfRule type="cellIs" dxfId="367" priority="4" operator="equal">
      <formula>"Festivo"</formula>
    </cfRule>
  </conditionalFormatting>
  <conditionalFormatting sqref="V46:AI358">
    <cfRule type="cellIs" dxfId="366" priority="1" operator="equal">
      <formula>"Laboral"</formula>
    </cfRule>
    <cfRule type="cellIs" dxfId="365" priority="2" operator="equal">
      <formula>"Festivo"</formula>
    </cfRule>
  </conditionalFormatting>
  <dataValidations count="1">
    <dataValidation type="decimal" operator="notEqual" allowBlank="1" showInputMessage="1" showErrorMessage="1" sqref="E3:S367" xr:uid="{00000000-0002-0000-0B00-000000000000}">
      <formula1>0.00001</formula1>
    </dataValidation>
  </dataValidations>
  <pageMargins left="0.7" right="0.7" top="0.75" bottom="0.75" header="0.3" footer="0.3"/>
  <pageSetup paperSize="9" scale="58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0-000001000000}">
          <x14:formula1>
            <xm:f>DATOS!$B$21:$B$27</xm:f>
          </x14:formula1>
          <xm:sqref>W3:W4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>
    <tabColor rgb="FFFFC000"/>
  </sheetPr>
  <dimension ref="A1:P53"/>
  <sheetViews>
    <sheetView zoomScale="85" zoomScaleNormal="85" workbookViewId="0">
      <pane xSplit="1" ySplit="1" topLeftCell="B29" activePane="bottomRight" state="frozen"/>
      <selection activeCell="D22" sqref="D22"/>
      <selection pane="topRight" activeCell="D22" sqref="D22"/>
      <selection pane="bottomLeft" activeCell="D22" sqref="D22"/>
      <selection pane="bottomRight" activeCell="C52" sqref="C52"/>
    </sheetView>
  </sheetViews>
  <sheetFormatPr baseColWidth="10" defaultColWidth="11.42578125" defaultRowHeight="18.75" outlineLevelRow="1"/>
  <cols>
    <col min="1" max="1" width="42.140625" style="6" bestFit="1" customWidth="1"/>
    <col min="2" max="2" width="17.140625" style="6" customWidth="1"/>
    <col min="3" max="3" width="8.140625" style="143" bestFit="1" customWidth="1"/>
    <col min="4" max="4" width="12.7109375" style="6" customWidth="1"/>
    <col min="5" max="5" width="11" style="143" customWidth="1"/>
    <col min="6" max="6" width="14" style="6" bestFit="1" customWidth="1"/>
    <col min="7" max="7" width="10.140625" style="143" customWidth="1"/>
    <col min="8" max="8" width="15.140625" style="6" bestFit="1" customWidth="1"/>
    <col min="9" max="9" width="8.140625" style="143" bestFit="1" customWidth="1"/>
    <col min="10" max="16384" width="11.42578125" style="6"/>
  </cols>
  <sheetData>
    <row r="1" spans="1:16" ht="44.25" customHeight="1" thickBot="1">
      <c r="A1" s="33"/>
      <c r="B1" s="1264" t="s">
        <v>96</v>
      </c>
      <c r="C1" s="1265"/>
      <c r="D1" s="1266">
        <f>'Inversión-Financiación'!R3</f>
        <v>44531</v>
      </c>
      <c r="E1" s="1267"/>
      <c r="F1" s="1266">
        <f>+'Inversión-Financiación'!AD3</f>
        <v>44896</v>
      </c>
      <c r="G1" s="1267"/>
      <c r="H1" s="1266">
        <f>'Inversión-Financiación'!AP3</f>
        <v>45261</v>
      </c>
      <c r="I1" s="1267"/>
    </row>
    <row r="2" spans="1:16">
      <c r="A2" s="11" t="s">
        <v>100</v>
      </c>
      <c r="B2" s="126"/>
      <c r="C2" s="139"/>
      <c r="D2" s="126"/>
      <c r="E2" s="139"/>
      <c r="F2" s="126"/>
      <c r="G2" s="139"/>
      <c r="H2" s="126"/>
      <c r="I2" s="139"/>
      <c r="P2" s="6" t="s">
        <v>46</v>
      </c>
    </row>
    <row r="3" spans="1:16">
      <c r="A3" s="126" t="s">
        <v>101</v>
      </c>
      <c r="B3" s="127">
        <f ca="1">+B4+B10+B20</f>
        <v>0</v>
      </c>
      <c r="C3" s="144" t="str">
        <f ca="1">IF(ISERROR(+B3/$B$30),"",(+B3/$B$30))</f>
        <v/>
      </c>
      <c r="D3" s="127">
        <f ca="1">+D4+D10+D20</f>
        <v>0</v>
      </c>
      <c r="E3" s="144" t="str">
        <f ca="1">IF(ISERROR(+D3/$D$30),"",(+D3/$D$30))</f>
        <v/>
      </c>
      <c r="F3" s="127">
        <f ca="1">+F4+F10+F20</f>
        <v>0</v>
      </c>
      <c r="G3" s="144" t="str">
        <f ca="1">IF(ISERROR(+F3/$F$30),"",(+F3/$F$30))</f>
        <v/>
      </c>
      <c r="H3" s="127">
        <f ca="1">+H4+H10+H20</f>
        <v>0</v>
      </c>
      <c r="I3" s="144" t="str">
        <f ca="1">IF(ISERROR(+H3/$H$30),"",(+H3/$H$30))</f>
        <v/>
      </c>
    </row>
    <row r="4" spans="1:16">
      <c r="A4" s="33" t="s">
        <v>102</v>
      </c>
      <c r="B4" s="123">
        <f ca="1">SUM(B5:B9)</f>
        <v>0</v>
      </c>
      <c r="C4" s="139"/>
      <c r="D4" s="123">
        <f ca="1">SUM(D5:D9)</f>
        <v>0</v>
      </c>
      <c r="E4" s="139"/>
      <c r="F4" s="123">
        <f ca="1">SUM(F5:F9)</f>
        <v>0</v>
      </c>
      <c r="G4" s="139"/>
      <c r="H4" s="123">
        <f ca="1">SUM(H5:H9)</f>
        <v>0</v>
      </c>
      <c r="I4" s="139"/>
    </row>
    <row r="5" spans="1:16" hidden="1" outlineLevel="1">
      <c r="A5" s="128" t="s">
        <v>24</v>
      </c>
      <c r="B5" s="129">
        <f ca="1">SUMIF('Inversión-Financiación'!$C$4:$F$20,$A5,'Inversión-Financiación'!$D$4:$D$20)</f>
        <v>0</v>
      </c>
      <c r="C5" s="140"/>
      <c r="D5" s="129">
        <f ca="1">SUM('AMORTIZACIÓN-BALANCE'!C5:N5)</f>
        <v>0</v>
      </c>
      <c r="E5" s="140"/>
      <c r="F5" s="129">
        <f ca="1">SUM('AMORTIZACIÓN-BALANCE'!Z19)</f>
        <v>0</v>
      </c>
      <c r="G5" s="140"/>
      <c r="H5" s="129">
        <f ca="1">+'AMORTIZACIÓN-BALANCE'!AL19</f>
        <v>0</v>
      </c>
      <c r="I5" s="140"/>
    </row>
    <row r="6" spans="1:16" hidden="1" outlineLevel="1">
      <c r="A6" s="128" t="s">
        <v>25</v>
      </c>
      <c r="B6" s="129">
        <f ca="1">SUMIF('Inversión-Financiación'!$C$4:$F$20,$A6,'Inversión-Financiación'!$D$4:$D$20)</f>
        <v>0</v>
      </c>
      <c r="C6" s="140"/>
      <c r="D6" s="129">
        <f ca="1">SUM('AMORTIZACIÓN-BALANCE'!C6:N6)</f>
        <v>0</v>
      </c>
      <c r="E6" s="140"/>
      <c r="F6" s="129">
        <f ca="1">SUM('AMORTIZACIÓN-BALANCE'!Z20)</f>
        <v>0</v>
      </c>
      <c r="G6" s="140"/>
      <c r="H6" s="129">
        <f ca="1">+'AMORTIZACIÓN-BALANCE'!AL20</f>
        <v>0</v>
      </c>
      <c r="I6" s="140"/>
    </row>
    <row r="7" spans="1:16" hidden="1" outlineLevel="1">
      <c r="A7" s="128" t="s">
        <v>26</v>
      </c>
      <c r="B7" s="129">
        <f ca="1">SUMIF('Inversión-Financiación'!$C$4:$F$20,$A7,'Inversión-Financiación'!$D$4:$D$20)</f>
        <v>0</v>
      </c>
      <c r="C7" s="140"/>
      <c r="D7" s="129">
        <f ca="1">SUM('AMORTIZACIÓN-BALANCE'!C7:N7)</f>
        <v>0</v>
      </c>
      <c r="E7" s="140"/>
      <c r="F7" s="129">
        <f ca="1">SUM('AMORTIZACIÓN-BALANCE'!Z21)</f>
        <v>0</v>
      </c>
      <c r="G7" s="140"/>
      <c r="H7" s="129">
        <f ca="1">+'AMORTIZACIÓN-BALANCE'!AL21</f>
        <v>0</v>
      </c>
      <c r="I7" s="140"/>
    </row>
    <row r="8" spans="1:16" hidden="1" outlineLevel="1">
      <c r="A8" s="128" t="s">
        <v>379</v>
      </c>
      <c r="B8" s="129">
        <f ca="1">SUMIF('Inversión-Financiación'!$C$4:$F$20,$A8,'Inversión-Financiación'!$D$4:$D$20)+Seguimiento!F19</f>
        <v>0</v>
      </c>
      <c r="C8" s="140"/>
      <c r="D8" s="129">
        <f ca="1">SUM('AMORTIZACIÓN-BALANCE'!C16:N16)</f>
        <v>0</v>
      </c>
      <c r="E8" s="140"/>
      <c r="F8" s="129">
        <f ca="1">SUM('AMORTIZACIÓN-BALANCE'!Z30)</f>
        <v>0</v>
      </c>
      <c r="G8" s="140"/>
      <c r="H8" s="129">
        <f ca="1">+'AMORTIZACIÓN-BALANCE'!AL30</f>
        <v>0</v>
      </c>
      <c r="I8" s="140"/>
    </row>
    <row r="9" spans="1:16" hidden="1" outlineLevel="1">
      <c r="A9" s="128" t="s">
        <v>103</v>
      </c>
      <c r="B9" s="129">
        <f ca="1">SUMIF('Inversión-Financiación'!$C$4:$F$20,$A9,'Inversión-Financiación'!$D$4:$D$20)+Seguimiento!F20</f>
        <v>0</v>
      </c>
      <c r="C9" s="140"/>
      <c r="D9" s="129">
        <f ca="1">-SUM('AMORTIZACIÓN-BALANCE'!C33:N35)-SUM('AMORTIZACIÓN-BALANCE'!C44:N44)+Seguimiento!F20</f>
        <v>0</v>
      </c>
      <c r="E9" s="140"/>
      <c r="F9" s="129">
        <f ca="1">-SUM('AMORTIZACIÓN-BALANCE'!C33:Z35)-SUM('AMORTIZACIÓN-BALANCE'!C44:Z44)+Seguimiento!F20</f>
        <v>0</v>
      </c>
      <c r="G9" s="140"/>
      <c r="H9" s="129">
        <f ca="1">-SUM('AMORTIZACIÓN-BALANCE'!C33:AL35)-SUM('AMORTIZACIÓN-BALANCE'!C44:AL44)+Seguimiento!F20</f>
        <v>0</v>
      </c>
      <c r="I9" s="140"/>
    </row>
    <row r="10" spans="1:16" collapsed="1">
      <c r="A10" s="33" t="s">
        <v>104</v>
      </c>
      <c r="B10" s="123">
        <f ca="1">SUM(B11:B19)</f>
        <v>0</v>
      </c>
      <c r="C10" s="139"/>
      <c r="D10" s="123">
        <f ca="1">SUM(D11:D19)</f>
        <v>0</v>
      </c>
      <c r="E10" s="139"/>
      <c r="F10" s="123">
        <f ca="1">SUM(F11:F19)</f>
        <v>0</v>
      </c>
      <c r="G10" s="139"/>
      <c r="H10" s="123">
        <f ca="1">SUM(H11:H19)</f>
        <v>0</v>
      </c>
      <c r="I10" s="139"/>
    </row>
    <row r="11" spans="1:16" hidden="1" outlineLevel="1">
      <c r="A11" s="128" t="s">
        <v>27</v>
      </c>
      <c r="B11" s="129">
        <f ca="1">SUMIF('Inversión-Financiación'!$C$4:$F$20,$A11,'Inversión-Financiación'!$D$4:$D$20)</f>
        <v>0</v>
      </c>
      <c r="C11" s="140"/>
      <c r="D11" s="129">
        <f ca="1">SUM('AMORTIZACIÓN-BALANCE'!C8:N8)</f>
        <v>0</v>
      </c>
      <c r="E11" s="140"/>
      <c r="F11" s="129">
        <f ca="1">+'AMORTIZACIÓN-BALANCE'!Z22</f>
        <v>0</v>
      </c>
      <c r="G11" s="140"/>
      <c r="H11" s="129">
        <f ca="1">+'AMORTIZACIÓN-BALANCE'!AL22</f>
        <v>0</v>
      </c>
      <c r="I11" s="140"/>
      <c r="J11" s="6" t="s">
        <v>46</v>
      </c>
    </row>
    <row r="12" spans="1:16" hidden="1" outlineLevel="1">
      <c r="A12" s="128" t="s">
        <v>28</v>
      </c>
      <c r="B12" s="129">
        <f ca="1">SUMIF('Inversión-Financiación'!$C$4:$F$20,$A12,'Inversión-Financiación'!$D$4:$D$20)</f>
        <v>0</v>
      </c>
      <c r="C12" s="140"/>
      <c r="D12" s="129">
        <f ca="1">SUM('AMORTIZACIÓN-BALANCE'!C9:N9)</f>
        <v>0</v>
      </c>
      <c r="E12" s="140"/>
      <c r="F12" s="129">
        <f ca="1">+'AMORTIZACIÓN-BALANCE'!Z23</f>
        <v>0</v>
      </c>
      <c r="G12" s="140"/>
      <c r="H12" s="129">
        <f ca="1">+'AMORTIZACIÓN-BALANCE'!AL23</f>
        <v>0</v>
      </c>
      <c r="I12" s="140"/>
      <c r="K12" s="6" t="s">
        <v>46</v>
      </c>
    </row>
    <row r="13" spans="1:16" hidden="1" outlineLevel="1">
      <c r="A13" s="128" t="s">
        <v>29</v>
      </c>
      <c r="B13" s="129">
        <f ca="1">SUMIF('Inversión-Financiación'!$C$4:$F$20,$A13,'Inversión-Financiación'!$D$4:$D$20)</f>
        <v>0</v>
      </c>
      <c r="C13" s="140"/>
      <c r="D13" s="129">
        <f ca="1">SUM('AMORTIZACIÓN-BALANCE'!C10:N10)</f>
        <v>0</v>
      </c>
      <c r="E13" s="140"/>
      <c r="F13" s="129">
        <f ca="1">+'AMORTIZACIÓN-BALANCE'!Z24</f>
        <v>0</v>
      </c>
      <c r="G13" s="140"/>
      <c r="H13" s="129">
        <f ca="1">+'AMORTIZACIÓN-BALANCE'!AL24</f>
        <v>0</v>
      </c>
      <c r="I13" s="140"/>
    </row>
    <row r="14" spans="1:16" hidden="1" outlineLevel="1">
      <c r="A14" s="128" t="s">
        <v>30</v>
      </c>
      <c r="B14" s="129">
        <f ca="1">SUMIF('Inversión-Financiación'!$C$4:$F$20,$A14,'Inversión-Financiación'!$D$4:$D$20)</f>
        <v>0</v>
      </c>
      <c r="C14" s="140"/>
      <c r="D14" s="129">
        <f ca="1">SUM('AMORTIZACIÓN-BALANCE'!C11:N11)</f>
        <v>0</v>
      </c>
      <c r="E14" s="140"/>
      <c r="F14" s="129">
        <f ca="1">+'AMORTIZACIÓN-BALANCE'!Z25</f>
        <v>0</v>
      </c>
      <c r="G14" s="140"/>
      <c r="H14" s="129">
        <f ca="1">+'AMORTIZACIÓN-BALANCE'!AL25</f>
        <v>0</v>
      </c>
      <c r="I14" s="140"/>
    </row>
    <row r="15" spans="1:16" hidden="1" outlineLevel="1">
      <c r="A15" s="128" t="s">
        <v>31</v>
      </c>
      <c r="B15" s="129">
        <f ca="1">SUMIF('Inversión-Financiación'!$C$4:$F$20,$A15,'Inversión-Financiación'!$D$4:$D$20)</f>
        <v>0</v>
      </c>
      <c r="C15" s="140"/>
      <c r="D15" s="129">
        <f ca="1">SUM('AMORTIZACIÓN-BALANCE'!C12:N12)</f>
        <v>0</v>
      </c>
      <c r="E15" s="140"/>
      <c r="F15" s="129">
        <f ca="1">+'AMORTIZACIÓN-BALANCE'!Z26</f>
        <v>0</v>
      </c>
      <c r="G15" s="140"/>
      <c r="H15" s="129">
        <f ca="1">+'AMORTIZACIÓN-BALANCE'!AL26</f>
        <v>0</v>
      </c>
      <c r="I15" s="140"/>
    </row>
    <row r="16" spans="1:16" hidden="1" outlineLevel="1">
      <c r="A16" s="128" t="s">
        <v>4</v>
      </c>
      <c r="B16" s="129">
        <f ca="1">SUMIF('Inversión-Financiación'!$C$4:$F$20,$A16,'Inversión-Financiación'!$D$4:$D$20)</f>
        <v>0</v>
      </c>
      <c r="C16" s="140"/>
      <c r="D16" s="129">
        <f ca="1">SUM('AMORTIZACIÓN-BALANCE'!C13:N13)</f>
        <v>0</v>
      </c>
      <c r="E16" s="140"/>
      <c r="F16" s="129">
        <f ca="1">+'AMORTIZACIÓN-BALANCE'!Z27</f>
        <v>0</v>
      </c>
      <c r="G16" s="140"/>
      <c r="H16" s="129">
        <f ca="1">+'AMORTIZACIÓN-BALANCE'!AL27</f>
        <v>0</v>
      </c>
      <c r="I16" s="140"/>
    </row>
    <row r="17" spans="1:14" hidden="1" outlineLevel="1">
      <c r="A17" s="128" t="s">
        <v>32</v>
      </c>
      <c r="B17" s="129">
        <f ca="1">SUMIF('Inversión-Financiación'!$C$4:$F$20,$A17,'Inversión-Financiación'!$D$4:$D$20)</f>
        <v>0</v>
      </c>
      <c r="C17" s="140"/>
      <c r="D17" s="129">
        <f ca="1">SUM('AMORTIZACIÓN-BALANCE'!C14:N14)</f>
        <v>0</v>
      </c>
      <c r="E17" s="140"/>
      <c r="F17" s="129">
        <f ca="1">+'AMORTIZACIÓN-BALANCE'!Z28</f>
        <v>0</v>
      </c>
      <c r="G17" s="140"/>
      <c r="H17" s="129">
        <f ca="1">+'AMORTIZACIÓN-BALANCE'!AL28</f>
        <v>0</v>
      </c>
      <c r="I17" s="140"/>
    </row>
    <row r="18" spans="1:14" hidden="1" outlineLevel="1">
      <c r="A18" s="128" t="s">
        <v>33</v>
      </c>
      <c r="B18" s="129">
        <f ca="1">SUMIF('Inversión-Financiación'!$C$4:$F$20,$A18,'Inversión-Financiación'!$D$4:$D$20)+Seguimiento!F21</f>
        <v>0</v>
      </c>
      <c r="C18" s="140"/>
      <c r="D18" s="129">
        <f ca="1">SUM('AMORTIZACIÓN-BALANCE'!C15:N15)</f>
        <v>0</v>
      </c>
      <c r="E18" s="140"/>
      <c r="F18" s="129">
        <f ca="1">+'AMORTIZACIÓN-BALANCE'!Z29</f>
        <v>0</v>
      </c>
      <c r="G18" s="140"/>
      <c r="H18" s="129">
        <f ca="1">+'AMORTIZACIÓN-BALANCE'!AL29</f>
        <v>0</v>
      </c>
      <c r="I18" s="140"/>
    </row>
    <row r="19" spans="1:14" hidden="1" outlineLevel="1">
      <c r="A19" s="128" t="s">
        <v>105</v>
      </c>
      <c r="B19" s="129">
        <f ca="1">SUMIF('Inversión-Financiación'!$C$4:$F$20,$A19,'Inversión-Financiación'!$D$4:$D$20)+Seguimiento!F22</f>
        <v>0</v>
      </c>
      <c r="C19" s="140"/>
      <c r="D19" s="129">
        <f ca="1">-SUM('AMORTIZACIÓN-BALANCE'!C36:N43)+Seguimiento!F22</f>
        <v>0</v>
      </c>
      <c r="E19" s="140"/>
      <c r="F19" s="129">
        <f ca="1">-SUM('AMORTIZACIÓN-BALANCE'!C36:Z43)+Seguimiento!F22</f>
        <v>0</v>
      </c>
      <c r="G19" s="140"/>
      <c r="H19" s="129">
        <f ca="1">-SUM('AMORTIZACIÓN-BALANCE'!C36:AL43)+Seguimiento!F22</f>
        <v>0</v>
      </c>
      <c r="I19" s="140"/>
    </row>
    <row r="20" spans="1:14" collapsed="1">
      <c r="A20" s="33" t="s">
        <v>106</v>
      </c>
      <c r="B20" s="123">
        <f ca="1">+B21</f>
        <v>0</v>
      </c>
      <c r="C20" s="139"/>
      <c r="D20" s="123">
        <f ca="1">+D21</f>
        <v>0</v>
      </c>
      <c r="E20" s="139"/>
      <c r="F20" s="123">
        <f ca="1">+F21</f>
        <v>0</v>
      </c>
      <c r="G20" s="139"/>
      <c r="H20" s="123">
        <f ca="1">+H21</f>
        <v>0</v>
      </c>
      <c r="I20" s="139"/>
    </row>
    <row r="21" spans="1:14" hidden="1" outlineLevel="1">
      <c r="A21" s="128" t="s">
        <v>3</v>
      </c>
      <c r="B21" s="129">
        <f ca="1">SUMIF('Inversión-Financiación'!$C$4:$F$20,$A21,'Inversión-Financiación'!$D$4:$D$20)+Seguimiento!F23</f>
        <v>0</v>
      </c>
      <c r="C21" s="140"/>
      <c r="D21" s="129">
        <f ca="1">SUM('AMORTIZACIÓN-BALANCE'!C47:N47)</f>
        <v>0</v>
      </c>
      <c r="E21" s="140"/>
      <c r="F21" s="129">
        <f ca="1">SUM('AMORTIZACIÓN-BALANCE'!C47:Z47)</f>
        <v>0</v>
      </c>
      <c r="G21" s="140"/>
      <c r="H21" s="129">
        <f ca="1">SUM('AMORTIZACIÓN-BALANCE'!C47:AL47)</f>
        <v>0</v>
      </c>
      <c r="I21" s="140"/>
    </row>
    <row r="22" spans="1:14" collapsed="1">
      <c r="A22" s="126" t="s">
        <v>107</v>
      </c>
      <c r="B22" s="127">
        <f ca="1">+B23+B24+B29</f>
        <v>0</v>
      </c>
      <c r="C22" s="144" t="str">
        <f ca="1">IF(ISERROR(+B22/$B$30),"",(+B22/$B$30))</f>
        <v/>
      </c>
      <c r="D22" s="127">
        <f ca="1">+D23+D24+D29</f>
        <v>0</v>
      </c>
      <c r="E22" s="144" t="str">
        <f ca="1">IF(ISERROR(+D22/$D$30),"",(+D22/$D$30))</f>
        <v/>
      </c>
      <c r="F22" s="127">
        <f ca="1">+F23+F24+F29</f>
        <v>0</v>
      </c>
      <c r="G22" s="144" t="str">
        <f ca="1">IF(ISERROR(+F22/$F$30),"",(+F22/$F$30))</f>
        <v/>
      </c>
      <c r="H22" s="127">
        <f ca="1">+H23+H24+H29</f>
        <v>0</v>
      </c>
      <c r="I22" s="144" t="str">
        <f ca="1">IF(ISERROR(+H22/$H$30),"",(+H22/$H$30))</f>
        <v/>
      </c>
      <c r="N22" s="6" t="s">
        <v>46</v>
      </c>
    </row>
    <row r="23" spans="1:14">
      <c r="A23" s="33" t="s">
        <v>35</v>
      </c>
      <c r="B23" s="130">
        <f ca="1">SUMIF('Inversión-Financiación'!$C$4:$F$20,$A23,'Inversión-Financiación'!$D$4:$D$20)+Seguimiento!F25</f>
        <v>0</v>
      </c>
      <c r="C23" s="141"/>
      <c r="D23" s="129">
        <f ca="1">SUM('AMORTIZACIÓN-BALANCE'!C49:N49)</f>
        <v>0</v>
      </c>
      <c r="E23" s="141"/>
      <c r="F23" s="129">
        <f ca="1">SUM('AMORTIZACIÓN-BALANCE'!C49:Z49)</f>
        <v>0</v>
      </c>
      <c r="G23" s="141"/>
      <c r="H23" s="129">
        <f ca="1">SUM('AMORTIZACIÓN-BALANCE'!C49:AL49)</f>
        <v>0</v>
      </c>
      <c r="I23" s="141"/>
    </row>
    <row r="24" spans="1:14">
      <c r="A24" s="33" t="s">
        <v>108</v>
      </c>
      <c r="B24" s="130">
        <f ca="1">SUM(B25:B26)</f>
        <v>0</v>
      </c>
      <c r="C24" s="141"/>
      <c r="D24" s="130">
        <f ca="1">SUM(D25:D28)</f>
        <v>0</v>
      </c>
      <c r="E24" s="141"/>
      <c r="F24" s="130">
        <f ca="1">SUM(F25:F28)</f>
        <v>0</v>
      </c>
      <c r="G24" s="141"/>
      <c r="H24" s="130">
        <f ca="1">SUM(H25:H28)</f>
        <v>0</v>
      </c>
      <c r="I24" s="141"/>
      <c r="L24" s="6" t="s">
        <v>46</v>
      </c>
    </row>
    <row r="25" spans="1:14" hidden="1" outlineLevel="1">
      <c r="A25" s="128" t="s">
        <v>109</v>
      </c>
      <c r="B25" s="130">
        <f ca="1">SUMIF('Inversión-Financiación'!$C$4:$F$20,$A25,'Inversión-Financiación'!$D$4:$D$20)+Seguimiento!F26</f>
        <v>0</v>
      </c>
      <c r="C25" s="142"/>
      <c r="D25" s="131">
        <f ca="1">SUM('INGRESOS-GASTOS'!G165:R165)+B25-Seguimiento!P45</f>
        <v>0</v>
      </c>
      <c r="E25" s="142"/>
      <c r="F25" s="131">
        <f ca="1">SUM('INGRESOS-GASTOS'!G165:AD165)+B25-Seguimiento!P45</f>
        <v>0</v>
      </c>
      <c r="G25" s="142"/>
      <c r="H25" s="131">
        <f ca="1">SUM('INGRESOS-GASTOS'!G165:AP165)+B25-Seguimiento!P45</f>
        <v>0</v>
      </c>
      <c r="I25" s="142"/>
    </row>
    <row r="26" spans="1:14" hidden="1" outlineLevel="1">
      <c r="A26" s="128" t="s">
        <v>110</v>
      </c>
      <c r="B26" s="129">
        <f ca="1">SUMIF('Inversión-Financiación'!$C$4:$F$20,$A26,'Inversión-Financiación'!$D$4:$D$20)</f>
        <v>0</v>
      </c>
      <c r="C26" s="140"/>
      <c r="D26" s="129">
        <f>IF('IRPF-IVA-IS'!R26&lt;0,-'IRPF-IVA-IS'!R26,0)</f>
        <v>0</v>
      </c>
      <c r="E26" s="140"/>
      <c r="F26" s="129">
        <f>IF('IRPF-IVA-IS'!AD26&lt;0,-'IRPF-IVA-IS'!AD26,0)</f>
        <v>0</v>
      </c>
      <c r="G26" s="140"/>
      <c r="H26" s="129">
        <f>IF('IRPF-IVA-IS'!AP26&lt;0,-'IRPF-IVA-IS'!AP26,0)</f>
        <v>0</v>
      </c>
      <c r="I26" s="140"/>
    </row>
    <row r="27" spans="1:14" hidden="1" outlineLevel="1">
      <c r="A27" s="128"/>
      <c r="B27" s="129"/>
      <c r="C27" s="140"/>
      <c r="D27" s="129"/>
      <c r="E27" s="140"/>
      <c r="F27" s="129"/>
      <c r="G27" s="140"/>
      <c r="H27" s="129"/>
      <c r="I27" s="140"/>
    </row>
    <row r="28" spans="1:14" hidden="1" outlineLevel="1">
      <c r="A28" s="128" t="s">
        <v>192</v>
      </c>
      <c r="B28" s="129"/>
      <c r="C28" s="140"/>
      <c r="D28" s="129">
        <f>SUM('Resultados mensuales '!C31:N31)</f>
        <v>0</v>
      </c>
      <c r="E28" s="140"/>
      <c r="F28" s="129">
        <f>SUM('Resultados mensuales '!C31:Z31)</f>
        <v>0</v>
      </c>
      <c r="G28" s="140"/>
      <c r="H28" s="129">
        <f>SUM('Resultados mensuales '!C31:AL31)</f>
        <v>0</v>
      </c>
      <c r="I28" s="140"/>
    </row>
    <row r="29" spans="1:14" collapsed="1">
      <c r="A29" s="33" t="s">
        <v>111</v>
      </c>
      <c r="B29" s="123">
        <f>+'Inversión-Financiación'!F40+Seguimiento!F27</f>
        <v>0</v>
      </c>
      <c r="C29" s="139"/>
      <c r="D29" s="123">
        <f ca="1">+'Tesorería mensual'!N47</f>
        <v>0</v>
      </c>
      <c r="E29" s="139"/>
      <c r="F29" s="123">
        <f ca="1">+'Tesorería mensual'!Z47</f>
        <v>0</v>
      </c>
      <c r="G29" s="139"/>
      <c r="H29" s="123">
        <f ca="1">+'Tesorería mensual'!AL47</f>
        <v>0</v>
      </c>
      <c r="I29" s="139"/>
    </row>
    <row r="30" spans="1:14" s="147" customFormat="1" ht="21">
      <c r="A30" s="145" t="s">
        <v>112</v>
      </c>
      <c r="B30" s="146">
        <f ca="1">+B3+B22</f>
        <v>0</v>
      </c>
      <c r="C30" s="144" t="str">
        <f ca="1">IF(ISERROR(+B30/$B$30),"",(+B30/$B$30))</f>
        <v/>
      </c>
      <c r="D30" s="146">
        <f ca="1">+D3+D22</f>
        <v>0</v>
      </c>
      <c r="E30" s="144" t="str">
        <f ca="1">IF(ISERROR(+D30/$D$30),"",(+D30/$D$30))</f>
        <v/>
      </c>
      <c r="F30" s="146">
        <f ca="1">+F3+F22</f>
        <v>0</v>
      </c>
      <c r="G30" s="144" t="str">
        <f ca="1">IF(ISERROR(+F30/$F$30),"",(+F30/$F$30))</f>
        <v/>
      </c>
      <c r="H30" s="146">
        <f ca="1">+H3+H22</f>
        <v>0</v>
      </c>
      <c r="I30" s="144" t="str">
        <f ca="1">IF(ISERROR(+H30/$H$30),"",(+H30/$H$30))</f>
        <v/>
      </c>
      <c r="J30" s="147" t="s">
        <v>46</v>
      </c>
    </row>
    <row r="31" spans="1:14" ht="7.5" customHeight="1">
      <c r="A31" s="33"/>
      <c r="B31" s="123"/>
      <c r="C31" s="139"/>
      <c r="D31" s="123"/>
      <c r="E31" s="139"/>
      <c r="F31" s="123"/>
      <c r="G31" s="139"/>
      <c r="H31" s="123"/>
      <c r="I31" s="139"/>
    </row>
    <row r="32" spans="1:14">
      <c r="A32" s="11" t="s">
        <v>113</v>
      </c>
      <c r="B32" s="123"/>
      <c r="C32" s="139"/>
      <c r="D32" s="123"/>
      <c r="E32" s="139"/>
      <c r="F32" s="123"/>
      <c r="G32" s="139"/>
      <c r="H32" s="123"/>
      <c r="I32" s="139"/>
    </row>
    <row r="33" spans="1:13">
      <c r="A33" s="126" t="s">
        <v>114</v>
      </c>
      <c r="B33" s="127">
        <f ca="1">SUM(B34:B39)</f>
        <v>0</v>
      </c>
      <c r="C33" s="144" t="str">
        <f ca="1">IF(ISERROR(+B33/$B$30),"",(+B33/$B$30))</f>
        <v/>
      </c>
      <c r="D33" s="127">
        <f ca="1">SUM(D34:D39)</f>
        <v>0</v>
      </c>
      <c r="E33" s="144" t="str">
        <f ca="1">IF(ISERROR(+D33/$D$30),"",(+D33/$D$30))</f>
        <v/>
      </c>
      <c r="F33" s="127">
        <f ca="1">SUM(F34:F39)</f>
        <v>0</v>
      </c>
      <c r="G33" s="144" t="str">
        <f ca="1">IF(ISERROR(+F33/$F$30),"",(+F33/$F$30))</f>
        <v/>
      </c>
      <c r="H33" s="127">
        <f ca="1">SUM(H34:H39)</f>
        <v>0</v>
      </c>
      <c r="I33" s="144" t="str">
        <f ca="1">IF(ISERROR(+H33/$H$30),"",(+H33/$H$30))</f>
        <v/>
      </c>
      <c r="M33" s="6" t="s">
        <v>46</v>
      </c>
    </row>
    <row r="34" spans="1:13">
      <c r="A34" s="33" t="s">
        <v>38</v>
      </c>
      <c r="B34" s="123">
        <f ca="1">SUMIF('Inversión-Financiación'!$C$25:$F$37,$A34,'Inversión-Financiación'!$F$25:$F$37)+Seguimiento!F31</f>
        <v>0</v>
      </c>
      <c r="C34" s="139"/>
      <c r="D34" s="123">
        <f ca="1">SUM('AMORTIZACIÓN-BALANCE'!C50:N50)</f>
        <v>0</v>
      </c>
      <c r="E34" s="139"/>
      <c r="F34" s="123">
        <f ca="1">SUM('AMORTIZACIÓN-BALANCE'!C50:Z50)</f>
        <v>0</v>
      </c>
      <c r="G34" s="139"/>
      <c r="H34" s="123">
        <f ca="1">SUM('AMORTIZACIÓN-BALANCE'!C50:AL50)</f>
        <v>0</v>
      </c>
      <c r="I34" s="139"/>
    </row>
    <row r="35" spans="1:13">
      <c r="A35" s="33" t="s">
        <v>40</v>
      </c>
      <c r="B35" s="123">
        <f ca="1">SUMIF('Inversión-Financiación'!$C$25:$F$37,$A35,'Inversión-Financiación'!$F$25:$F$37)</f>
        <v>0</v>
      </c>
      <c r="C35" s="139"/>
      <c r="D35" s="123">
        <f ca="1">SUM('AMORTIZACIÓN-BALANCE'!C51:N51)</f>
        <v>0</v>
      </c>
      <c r="E35" s="139"/>
      <c r="F35" s="123">
        <f ca="1">SUM('AMORTIZACIÓN-BALANCE'!C51:Z51)</f>
        <v>0</v>
      </c>
      <c r="G35" s="139"/>
      <c r="H35" s="123">
        <f ca="1">SUM('AMORTIZACIÓN-BALANCE'!C51:AL51)</f>
        <v>0</v>
      </c>
      <c r="I35" s="139"/>
    </row>
    <row r="36" spans="1:13">
      <c r="A36" s="33" t="s">
        <v>6</v>
      </c>
      <c r="B36" s="123">
        <f ca="1">SUMIF('Inversión-Financiación'!$C$25:$F$37,$A36,'Inversión-Financiación'!$F$25:$F$37)+Seguimiento!F32</f>
        <v>0</v>
      </c>
      <c r="C36" s="139"/>
      <c r="D36" s="123">
        <f ca="1">SUM('AMORTIZACIÓN-BALANCE'!C52:N52)</f>
        <v>0</v>
      </c>
      <c r="E36" s="139"/>
      <c r="F36" s="123">
        <f ca="1">SUM('AMORTIZACIÓN-BALANCE'!C52:Z52)</f>
        <v>0</v>
      </c>
      <c r="G36" s="139"/>
      <c r="H36" s="123">
        <f ca="1">SUM('AMORTIZACIÓN-BALANCE'!C52:AL52)</f>
        <v>0</v>
      </c>
      <c r="I36" s="139"/>
    </row>
    <row r="37" spans="1:13">
      <c r="A37" s="33" t="s">
        <v>39</v>
      </c>
      <c r="B37" s="123">
        <f ca="1">SUMIF('Inversión-Financiación'!$C$25:$F$37,$A37,'Inversión-Financiación'!$F$25:$F$37)+Seguimiento!F33</f>
        <v>0</v>
      </c>
      <c r="C37" s="139"/>
      <c r="D37" s="123">
        <f ca="1">SUM('AMORTIZACIÓN-BALANCE'!C53:N53)</f>
        <v>0</v>
      </c>
      <c r="E37" s="139"/>
      <c r="F37" s="123">
        <f ca="1">SUM('AMORTIZACIÓN-BALANCE'!C53:Z53)+D38</f>
        <v>0</v>
      </c>
      <c r="G37" s="139"/>
      <c r="H37" s="123">
        <f ca="1">SUM('AMORTIZACIÓN-BALANCE'!AA53:AL53)+F37+F38</f>
        <v>0</v>
      </c>
      <c r="I37" s="139"/>
      <c r="J37" s="6" t="s">
        <v>46</v>
      </c>
    </row>
    <row r="38" spans="1:13">
      <c r="A38" s="33" t="s">
        <v>115</v>
      </c>
      <c r="B38" s="123"/>
      <c r="C38" s="139"/>
      <c r="D38" s="123">
        <f ca="1">+Resultados!C21+Resultados!C23</f>
        <v>0</v>
      </c>
      <c r="E38" s="139"/>
      <c r="F38" s="123">
        <f ca="1">+Resultados!E25</f>
        <v>0</v>
      </c>
      <c r="G38" s="139"/>
      <c r="H38" s="123">
        <f ca="1">+Resultados!G25</f>
        <v>0</v>
      </c>
      <c r="I38" s="139"/>
    </row>
    <row r="39" spans="1:13">
      <c r="A39" s="33" t="s">
        <v>41</v>
      </c>
      <c r="B39" s="123">
        <f ca="1">SUMIF('Inversión-Financiación'!$C$25:$F$37,$A39,'Inversión-Financiación'!$F$25:$F$37)</f>
        <v>0</v>
      </c>
      <c r="C39" s="139"/>
      <c r="D39" s="123">
        <f ca="1">SUM('AMORTIZACIÓN-BALANCE'!C54:N54)</f>
        <v>0</v>
      </c>
      <c r="E39" s="139"/>
      <c r="F39" s="123">
        <f ca="1">SUM('AMORTIZACIÓN-BALANCE'!C54:Z54)</f>
        <v>0</v>
      </c>
      <c r="G39" s="139"/>
      <c r="H39" s="123">
        <f ca="1">SUM('AMORTIZACIÓN-BALANCE'!C54:AL54)</f>
        <v>0</v>
      </c>
      <c r="I39" s="139"/>
    </row>
    <row r="40" spans="1:13">
      <c r="A40" s="126" t="s">
        <v>116</v>
      </c>
      <c r="B40" s="127">
        <f ca="1">+B41</f>
        <v>0</v>
      </c>
      <c r="C40" s="144" t="str">
        <f ca="1">IF(ISERROR(+B40/$B$30),"",(+B40/$B$30))</f>
        <v/>
      </c>
      <c r="D40" s="127">
        <f ca="1">+D41</f>
        <v>0</v>
      </c>
      <c r="E40" s="144" t="str">
        <f ca="1">IF(ISERROR(+D40/$D$30),"",(+D40/$D$30))</f>
        <v/>
      </c>
      <c r="F40" s="127">
        <f ca="1">+F41</f>
        <v>0</v>
      </c>
      <c r="G40" s="144" t="str">
        <f ca="1">IF(ISERROR(+F40/$F$30),"",(+F40/$F$30))</f>
        <v/>
      </c>
      <c r="H40" s="127">
        <f ca="1">+H41</f>
        <v>0</v>
      </c>
      <c r="I40" s="144" t="str">
        <f ca="1">IF(ISERROR(+H40/$H$30),"",(+H40/$H$30))</f>
        <v/>
      </c>
    </row>
    <row r="41" spans="1:13">
      <c r="A41" s="6" t="s">
        <v>65</v>
      </c>
      <c r="B41" s="123">
        <f ca="1">+'Tabla préstamo inicial'!J7</f>
        <v>0</v>
      </c>
      <c r="C41" s="139"/>
      <c r="D41" s="123">
        <f ca="1">+'Total préstamos'!N6</f>
        <v>0</v>
      </c>
      <c r="E41" s="139"/>
      <c r="F41" s="123">
        <f ca="1">+'Total préstamos'!Z6</f>
        <v>0</v>
      </c>
      <c r="G41" s="139"/>
      <c r="H41" s="123">
        <f ca="1">+'Total préstamos'!AL6</f>
        <v>0</v>
      </c>
      <c r="I41" s="139"/>
    </row>
    <row r="42" spans="1:13">
      <c r="A42" s="126" t="s">
        <v>117</v>
      </c>
      <c r="B42" s="127">
        <f ca="1">+B43+B44+B45</f>
        <v>0</v>
      </c>
      <c r="C42" s="144" t="str">
        <f ca="1">IF(ISERROR(+B42/$B$30),"",(+B42/$B$30))</f>
        <v/>
      </c>
      <c r="D42" s="127">
        <f ca="1">+D43+D44+D45</f>
        <v>0</v>
      </c>
      <c r="E42" s="144" t="str">
        <f ca="1">IF(ISERROR(+D42/$D$30),"",(+D42/$D$30))</f>
        <v/>
      </c>
      <c r="F42" s="127">
        <f ca="1">+F43+F44+F45</f>
        <v>0</v>
      </c>
      <c r="G42" s="144" t="str">
        <f ca="1">IF(ISERROR(+F42/$F$30),"",(+F42/$F$30))</f>
        <v/>
      </c>
      <c r="H42" s="127">
        <f ca="1">+H43+H44+H45</f>
        <v>0</v>
      </c>
      <c r="I42" s="144" t="str">
        <f ca="1">IF(ISERROR(+H42/$H$30),"",(+H42/$H$30))</f>
        <v/>
      </c>
    </row>
    <row r="43" spans="1:13">
      <c r="A43" s="33" t="s">
        <v>224</v>
      </c>
      <c r="B43" s="123">
        <f ca="1">+'Tabla préstamo inicial'!J8+'Tabla préstamo inicial'!J5</f>
        <v>0</v>
      </c>
      <c r="C43" s="139"/>
      <c r="D43" s="123">
        <f ca="1">+'Total préstamos'!N7</f>
        <v>0</v>
      </c>
      <c r="E43" s="139"/>
      <c r="F43" s="123">
        <f ca="1">+'Total préstamos'!Z7</f>
        <v>0</v>
      </c>
      <c r="G43" s="139"/>
      <c r="H43" s="123">
        <f ca="1">+'Total préstamos'!AL7</f>
        <v>0</v>
      </c>
      <c r="I43" s="139"/>
    </row>
    <row r="44" spans="1:13">
      <c r="A44" s="33" t="s">
        <v>118</v>
      </c>
      <c r="B44" s="123">
        <f ca="1">SUMIF('Inversión-Financiación'!$C$25:$F$37,$A44,'Inversión-Financiación'!$F$25:$F$37)+Seguimiento!F38</f>
        <v>0</v>
      </c>
      <c r="C44" s="139"/>
      <c r="D44" s="123">
        <f ca="1">SUM('INGRESOS-GASTOS'!G166:R166)+B44+Seguimiento!P46</f>
        <v>0</v>
      </c>
      <c r="E44" s="139"/>
      <c r="F44" s="123">
        <f ca="1">SUM('INGRESOS-GASTOS'!G166:AD166)+B44+Seguimiento!P46</f>
        <v>0</v>
      </c>
      <c r="G44" s="139"/>
      <c r="H44" s="123">
        <f ca="1">SUM('INGRESOS-GASTOS'!G166:AP166)+B44+Seguimiento!P46</f>
        <v>0</v>
      </c>
      <c r="I44" s="139"/>
      <c r="K44" s="6" t="s">
        <v>46</v>
      </c>
    </row>
    <row r="45" spans="1:13">
      <c r="A45" s="33" t="s">
        <v>235</v>
      </c>
      <c r="B45" s="123">
        <f>+Seguimiento!F39</f>
        <v>0</v>
      </c>
      <c r="C45" s="139"/>
      <c r="D45" s="123">
        <f ca="1">SUM(D46:D50)+Seguimiento!F39-Seguimiento!P47</f>
        <v>0</v>
      </c>
      <c r="E45" s="139"/>
      <c r="F45" s="123">
        <f ca="1">SUM(F46:F50)+Seguimiento!F39-Seguimiento!P47</f>
        <v>0</v>
      </c>
      <c r="G45" s="139"/>
      <c r="H45" s="123">
        <f ca="1">SUM(H46:H50)+Seguimiento!F39-Seguimiento!P47</f>
        <v>0</v>
      </c>
      <c r="I45" s="139"/>
    </row>
    <row r="46" spans="1:13" hidden="1" outlineLevel="1">
      <c r="A46" s="128" t="s">
        <v>336</v>
      </c>
      <c r="C46" s="6"/>
      <c r="E46" s="6"/>
      <c r="F46" s="138"/>
      <c r="G46" s="6"/>
      <c r="H46" s="138"/>
      <c r="I46" s="139"/>
      <c r="K46" s="6" t="s">
        <v>46</v>
      </c>
    </row>
    <row r="47" spans="1:13" hidden="1" outlineLevel="1">
      <c r="A47" s="128" t="s">
        <v>233</v>
      </c>
      <c r="B47" s="123"/>
      <c r="C47" s="139"/>
      <c r="D47" s="123">
        <f>IF('IRPF-IVA-IS'!R26&gt;0,'IRPF-IVA-IS'!R26,0)</f>
        <v>0</v>
      </c>
      <c r="E47" s="139"/>
      <c r="F47" s="123">
        <f>IF('IRPF-IVA-IS'!AD26&gt;0,'IRPF-IVA-IS'!AD26,0)</f>
        <v>0</v>
      </c>
      <c r="G47" s="139"/>
      <c r="H47" s="123">
        <f>IF('IRPF-IVA-IS'!AP26&gt;0,'IRPF-IVA-IS'!AP26,0)</f>
        <v>0</v>
      </c>
      <c r="I47" s="139"/>
      <c r="K47" s="6" t="s">
        <v>46</v>
      </c>
    </row>
    <row r="48" spans="1:13" hidden="1" outlineLevel="1">
      <c r="A48" s="128" t="s">
        <v>234</v>
      </c>
      <c r="B48" s="123"/>
      <c r="C48" s="139"/>
      <c r="D48" s="123">
        <f>+'IRPF-IVA-IS'!R12</f>
        <v>0</v>
      </c>
      <c r="E48" s="139"/>
      <c r="F48" s="123">
        <f>+'IRPF-IVA-IS'!AD12</f>
        <v>0</v>
      </c>
      <c r="G48" s="139"/>
      <c r="H48" s="123">
        <f>+'IRPF-IVA-IS'!AP12</f>
        <v>0</v>
      </c>
      <c r="I48" s="139"/>
    </row>
    <row r="49" spans="1:9" hidden="1" outlineLevel="1">
      <c r="A49" s="128" t="s">
        <v>327</v>
      </c>
      <c r="B49" s="123"/>
      <c r="C49" s="139"/>
      <c r="D49" s="123">
        <f ca="1">+'IRPF-IVA-IS'!R35+'IRPF-IVA-IS'!R68+'IRPF-IVA-IS'!R73</f>
        <v>0</v>
      </c>
      <c r="E49" s="139"/>
      <c r="F49" s="123">
        <f ca="1">'IRPF-IVA-IS'!AD35+'IRPF-IVA-IS'!AD68-SUM('IRPF-IVA-IS'!AB36:AD36)+'IRPF-IVA-IS'!AD73</f>
        <v>0</v>
      </c>
      <c r="G49" s="139"/>
      <c r="H49" s="123">
        <f ca="1">+'IRPF-IVA-IS'!AP35+'IRPF-IVA-IS'!AP68-SUM('IRPF-IVA-IS'!AM36:AP36)+'IRPF-IVA-IS'!AP73</f>
        <v>0</v>
      </c>
      <c r="I49" s="139"/>
    </row>
    <row r="50" spans="1:9" hidden="1" outlineLevel="1">
      <c r="A50" s="137" t="s">
        <v>229</v>
      </c>
      <c r="B50" s="123"/>
      <c r="C50" s="139"/>
      <c r="D50" s="123">
        <f>-'Tesorería mensual'!O11</f>
        <v>0</v>
      </c>
      <c r="E50" s="139"/>
      <c r="F50" s="123">
        <f>-'Tesorería mensual'!AA11</f>
        <v>0</v>
      </c>
      <c r="G50" s="139"/>
      <c r="H50" s="123">
        <f>-'Tesorería mensual'!AM11</f>
        <v>0</v>
      </c>
      <c r="I50" s="139"/>
    </row>
    <row r="51" spans="1:9" s="147" customFormat="1" ht="21" collapsed="1">
      <c r="A51" s="145" t="s">
        <v>119</v>
      </c>
      <c r="B51" s="146">
        <f ca="1">+B33+B40+B42</f>
        <v>0</v>
      </c>
      <c r="C51" s="144" t="str">
        <f ca="1">IF(ISERROR(+B51/$B$30),"",(+B51/$B$30))</f>
        <v/>
      </c>
      <c r="D51" s="146">
        <f ca="1">+D33+D40+D42</f>
        <v>0</v>
      </c>
      <c r="E51" s="144" t="str">
        <f ca="1">IF(ISERROR(+D51/$D$30),"",(+D51/$D$30))</f>
        <v/>
      </c>
      <c r="F51" s="146">
        <f ca="1">+F33+F40+F42</f>
        <v>0</v>
      </c>
      <c r="G51" s="144" t="str">
        <f ca="1">IF(ISERROR(+F51/$F$30),"",(+F51/$F$30))</f>
        <v/>
      </c>
      <c r="H51" s="146">
        <f ca="1">+H33+H40+H42</f>
        <v>0</v>
      </c>
      <c r="I51" s="144" t="str">
        <f ca="1">IF(ISERROR(+H51/$H$30),"",(+H51/$H$30))</f>
        <v/>
      </c>
    </row>
    <row r="52" spans="1:9">
      <c r="B52" s="138">
        <f ca="1">ROUND(+B30-B51,0)</f>
        <v>0</v>
      </c>
      <c r="D52" s="138">
        <f ca="1">ROUND(+D30-D51,0)</f>
        <v>0</v>
      </c>
      <c r="F52" s="138">
        <f ca="1">ROUND(+F30-F51,0)</f>
        <v>0</v>
      </c>
      <c r="H52" s="138">
        <f ca="1">ROUND(+H30-H51,0)</f>
        <v>0</v>
      </c>
    </row>
    <row r="53" spans="1:9">
      <c r="D53" s="138"/>
    </row>
  </sheetData>
  <mergeCells count="4">
    <mergeCell ref="B1:C1"/>
    <mergeCell ref="D1:E1"/>
    <mergeCell ref="F1:G1"/>
    <mergeCell ref="H1:I1"/>
  </mergeCells>
  <conditionalFormatting sqref="B52:I52">
    <cfRule type="cellIs" dxfId="363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>
    <tabColor theme="9" tint="-0.249977111117893"/>
  </sheetPr>
  <dimension ref="A1:AL54"/>
  <sheetViews>
    <sheetView topLeftCell="A38" workbookViewId="0">
      <selection activeCell="C43" sqref="C43"/>
    </sheetView>
  </sheetViews>
  <sheetFormatPr baseColWidth="10" defaultRowHeight="15" outlineLevelRow="1"/>
  <cols>
    <col min="1" max="1" width="32.7109375" customWidth="1"/>
    <col min="2" max="2" width="14" customWidth="1"/>
  </cols>
  <sheetData>
    <row r="1" spans="1:38" hidden="1">
      <c r="C1">
        <v>4</v>
      </c>
      <c r="D1">
        <v>5</v>
      </c>
      <c r="E1">
        <v>6</v>
      </c>
      <c r="F1">
        <v>7</v>
      </c>
      <c r="G1">
        <v>8</v>
      </c>
      <c r="H1">
        <v>9</v>
      </c>
      <c r="I1">
        <v>10</v>
      </c>
      <c r="J1">
        <v>11</v>
      </c>
      <c r="K1">
        <v>12</v>
      </c>
      <c r="L1">
        <v>13</v>
      </c>
      <c r="M1">
        <v>14</v>
      </c>
      <c r="N1">
        <v>15</v>
      </c>
      <c r="O1">
        <v>16</v>
      </c>
      <c r="P1">
        <v>17</v>
      </c>
      <c r="Q1">
        <v>18</v>
      </c>
      <c r="R1">
        <v>19</v>
      </c>
      <c r="S1">
        <v>20</v>
      </c>
      <c r="T1">
        <v>21</v>
      </c>
      <c r="U1">
        <v>22</v>
      </c>
      <c r="V1">
        <v>23</v>
      </c>
      <c r="W1">
        <v>24</v>
      </c>
      <c r="X1">
        <v>25</v>
      </c>
      <c r="Y1">
        <v>26</v>
      </c>
      <c r="Z1">
        <v>27</v>
      </c>
      <c r="AA1">
        <v>28</v>
      </c>
      <c r="AB1">
        <v>29</v>
      </c>
      <c r="AC1">
        <v>30</v>
      </c>
      <c r="AD1">
        <v>31</v>
      </c>
      <c r="AE1">
        <v>32</v>
      </c>
      <c r="AF1">
        <v>33</v>
      </c>
      <c r="AG1">
        <v>34</v>
      </c>
      <c r="AH1">
        <v>35</v>
      </c>
      <c r="AI1">
        <v>36</v>
      </c>
      <c r="AJ1">
        <v>37</v>
      </c>
      <c r="AK1">
        <v>38</v>
      </c>
      <c r="AL1">
        <v>39</v>
      </c>
    </row>
    <row r="2" spans="1:38" ht="15.75">
      <c r="B2" t="s">
        <v>46</v>
      </c>
      <c r="C2" s="1260" t="s">
        <v>121</v>
      </c>
      <c r="D2" s="1260"/>
      <c r="E2" s="1260"/>
      <c r="F2" s="1260"/>
      <c r="G2" s="1260"/>
      <c r="H2" s="1260"/>
      <c r="I2" s="1260"/>
      <c r="J2" s="1260"/>
      <c r="K2" s="1260"/>
      <c r="L2" s="1260"/>
      <c r="M2" s="1260"/>
      <c r="N2" s="1260"/>
      <c r="O2" s="1261" t="s">
        <v>122</v>
      </c>
      <c r="P2" s="1261"/>
      <c r="Q2" s="1261"/>
      <c r="R2" s="1261"/>
      <c r="S2" s="1261"/>
      <c r="T2" s="1261"/>
      <c r="U2" s="1261"/>
      <c r="V2" s="1261"/>
      <c r="W2" s="1261"/>
      <c r="X2" s="1261"/>
      <c r="Y2" s="1261"/>
      <c r="Z2" s="1261"/>
      <c r="AA2" s="1262" t="s">
        <v>123</v>
      </c>
      <c r="AB2" s="1262"/>
      <c r="AC2" s="1262"/>
      <c r="AD2" s="1262"/>
      <c r="AE2" s="1262"/>
      <c r="AF2" s="1262"/>
      <c r="AG2" s="1262"/>
      <c r="AH2" s="1262"/>
      <c r="AI2" s="1262"/>
      <c r="AJ2" s="1262"/>
      <c r="AK2" s="1262"/>
      <c r="AL2" s="1262"/>
    </row>
    <row r="3" spans="1:38">
      <c r="C3" s="82" t="s">
        <v>7</v>
      </c>
      <c r="D3" s="82" t="s">
        <v>8</v>
      </c>
      <c r="E3" s="82" t="s">
        <v>9</v>
      </c>
      <c r="F3" s="82" t="s">
        <v>10</v>
      </c>
      <c r="G3" s="82" t="s">
        <v>11</v>
      </c>
      <c r="H3" s="82" t="s">
        <v>12</v>
      </c>
      <c r="I3" s="82" t="s">
        <v>13</v>
      </c>
      <c r="J3" s="82" t="s">
        <v>14</v>
      </c>
      <c r="K3" s="82" t="s">
        <v>15</v>
      </c>
      <c r="L3" s="82" t="s">
        <v>16</v>
      </c>
      <c r="M3" s="82" t="s">
        <v>17</v>
      </c>
      <c r="N3" s="82" t="s">
        <v>18</v>
      </c>
      <c r="O3" s="82" t="s">
        <v>7</v>
      </c>
      <c r="P3" s="82" t="s">
        <v>8</v>
      </c>
      <c r="Q3" s="82" t="s">
        <v>9</v>
      </c>
      <c r="R3" s="82" t="s">
        <v>10</v>
      </c>
      <c r="S3" s="82" t="s">
        <v>11</v>
      </c>
      <c r="T3" s="82" t="s">
        <v>12</v>
      </c>
      <c r="U3" s="82" t="s">
        <v>13</v>
      </c>
      <c r="V3" s="82" t="s">
        <v>14</v>
      </c>
      <c r="W3" s="82" t="s">
        <v>15</v>
      </c>
      <c r="X3" s="82" t="s">
        <v>16</v>
      </c>
      <c r="Y3" s="82" t="s">
        <v>17</v>
      </c>
      <c r="Z3" s="82" t="s">
        <v>18</v>
      </c>
      <c r="AA3" s="82" t="s">
        <v>7</v>
      </c>
      <c r="AB3" s="82" t="s">
        <v>8</v>
      </c>
      <c r="AC3" s="82" t="s">
        <v>9</v>
      </c>
      <c r="AD3" s="82" t="s">
        <v>10</v>
      </c>
      <c r="AE3" s="82" t="s">
        <v>11</v>
      </c>
      <c r="AF3" s="82" t="s">
        <v>12</v>
      </c>
      <c r="AG3" s="82" t="s">
        <v>13</v>
      </c>
      <c r="AH3" s="82" t="s">
        <v>14</v>
      </c>
      <c r="AI3" s="82" t="s">
        <v>15</v>
      </c>
      <c r="AJ3" s="82" t="s">
        <v>16</v>
      </c>
      <c r="AK3" s="82" t="s">
        <v>17</v>
      </c>
      <c r="AL3" s="82" t="s">
        <v>18</v>
      </c>
    </row>
    <row r="4" spans="1:38" ht="18.75">
      <c r="A4" s="18" t="s">
        <v>198</v>
      </c>
      <c r="C4" s="84" t="s">
        <v>143</v>
      </c>
      <c r="D4" s="84" t="s">
        <v>144</v>
      </c>
      <c r="E4" s="84" t="s">
        <v>145</v>
      </c>
      <c r="F4" s="84" t="s">
        <v>146</v>
      </c>
      <c r="G4" s="84" t="s">
        <v>147</v>
      </c>
      <c r="H4" s="84" t="s">
        <v>148</v>
      </c>
      <c r="I4" s="84" t="s">
        <v>149</v>
      </c>
      <c r="J4" s="84" t="s">
        <v>150</v>
      </c>
      <c r="K4" s="84" t="s">
        <v>151</v>
      </c>
      <c r="L4" s="84" t="s">
        <v>152</v>
      </c>
      <c r="M4" s="84" t="s">
        <v>153</v>
      </c>
      <c r="N4" s="84" t="s">
        <v>154</v>
      </c>
      <c r="O4" s="85" t="s">
        <v>155</v>
      </c>
      <c r="P4" s="85" t="s">
        <v>156</v>
      </c>
      <c r="Q4" s="85" t="s">
        <v>157</v>
      </c>
      <c r="R4" s="85" t="s">
        <v>158</v>
      </c>
      <c r="S4" s="85" t="s">
        <v>159</v>
      </c>
      <c r="T4" s="85" t="s">
        <v>160</v>
      </c>
      <c r="U4" s="85" t="s">
        <v>161</v>
      </c>
      <c r="V4" s="85" t="s">
        <v>162</v>
      </c>
      <c r="W4" s="85" t="s">
        <v>163</v>
      </c>
      <c r="X4" s="85" t="s">
        <v>164</v>
      </c>
      <c r="Y4" s="85" t="s">
        <v>165</v>
      </c>
      <c r="Z4" s="85" t="s">
        <v>166</v>
      </c>
      <c r="AA4" s="84" t="s">
        <v>167</v>
      </c>
      <c r="AB4" s="84" t="s">
        <v>168</v>
      </c>
      <c r="AC4" s="84" t="s">
        <v>169</v>
      </c>
      <c r="AD4" s="84" t="s">
        <v>170</v>
      </c>
      <c r="AE4" s="84" t="s">
        <v>171</v>
      </c>
      <c r="AF4" s="84" t="s">
        <v>172</v>
      </c>
      <c r="AG4" s="84" t="s">
        <v>173</v>
      </c>
      <c r="AH4" s="84" t="s">
        <v>174</v>
      </c>
      <c r="AI4" s="84" t="s">
        <v>175</v>
      </c>
      <c r="AJ4" s="84" t="s">
        <v>176</v>
      </c>
      <c r="AK4" s="84" t="s">
        <v>177</v>
      </c>
      <c r="AL4" s="86" t="s">
        <v>178</v>
      </c>
    </row>
    <row r="5" spans="1:38" outlineLevel="1">
      <c r="A5" t="s">
        <v>24</v>
      </c>
      <c r="C5" s="88">
        <f ca="1">SUMIF('Inversión-Financiación'!$C$4:$AP$20,$A5,'Inversión-Financiación'!G$4:G$20)</f>
        <v>0</v>
      </c>
      <c r="D5" s="88">
        <f ca="1">SUMIF('Inversión-Financiación'!$C$4:$AP$20,$A5,'Inversión-Financiación'!H$4:H$20)</f>
        <v>0</v>
      </c>
      <c r="E5" s="88">
        <f ca="1">SUMIF('Inversión-Financiación'!$C$4:$AP$20,$A5,'Inversión-Financiación'!I$4:I$20)</f>
        <v>0</v>
      </c>
      <c r="F5" s="88">
        <f ca="1">SUMIF('Inversión-Financiación'!$C$4:$AP$20,$A5,'Inversión-Financiación'!J$4:J$20)</f>
        <v>0</v>
      </c>
      <c r="G5" s="88">
        <f ca="1">SUMIF('Inversión-Financiación'!$C$4:$AP$20,$A5,'Inversión-Financiación'!K$4:K$20)</f>
        <v>0</v>
      </c>
      <c r="H5" s="88">
        <f ca="1">SUMIF('Inversión-Financiación'!$C$4:$AP$20,$A5,'Inversión-Financiación'!L$4:L$20)</f>
        <v>0</v>
      </c>
      <c r="I5" s="88">
        <f ca="1">SUMIF('Inversión-Financiación'!$C$4:$AP$20,$A5,'Inversión-Financiación'!M$4:M$20)</f>
        <v>0</v>
      </c>
      <c r="J5" s="88">
        <f ca="1">SUMIF('Inversión-Financiación'!$C$4:$AP$20,$A5,'Inversión-Financiación'!N$4:N$20)</f>
        <v>0</v>
      </c>
      <c r="K5" s="88">
        <f ca="1">SUMIF('Inversión-Financiación'!$C$4:$AP$20,$A5,'Inversión-Financiación'!O$4:O$20)</f>
        <v>0</v>
      </c>
      <c r="L5" s="88">
        <f ca="1">SUMIF('Inversión-Financiación'!$C$4:$AP$20,$A5,'Inversión-Financiación'!P$4:P$20)</f>
        <v>0</v>
      </c>
      <c r="M5" s="88">
        <f ca="1">SUMIF('Inversión-Financiación'!$C$4:$AP$20,$A5,'Inversión-Financiación'!Q$4:Q$20)</f>
        <v>0</v>
      </c>
      <c r="N5" s="88">
        <f ca="1">SUMIF('Inversión-Financiación'!$C$4:$AP$20,$A5,'Inversión-Financiación'!R$4:R$20)</f>
        <v>0</v>
      </c>
      <c r="O5" s="89">
        <f ca="1">SUMIF('Inversión-Financiación'!$C$4:$AP$20,$A5,'Inversión-Financiación'!S$4:S$20)</f>
        <v>0</v>
      </c>
      <c r="P5" s="89">
        <f ca="1">SUMIF('Inversión-Financiación'!$C$4:$AP$20,$A5,'Inversión-Financiación'!T$4:T$20)</f>
        <v>0</v>
      </c>
      <c r="Q5" s="89">
        <f ca="1">SUMIF('Inversión-Financiación'!$C$4:$AP$20,$A5,'Inversión-Financiación'!U$4:U$20)</f>
        <v>0</v>
      </c>
      <c r="R5" s="89">
        <f ca="1">SUMIF('Inversión-Financiación'!$C$4:$AP$20,$A5,'Inversión-Financiación'!V$4:V$20)</f>
        <v>0</v>
      </c>
      <c r="S5" s="89">
        <f ca="1">SUMIF('Inversión-Financiación'!$C$4:$AP$20,$A5,'Inversión-Financiación'!W$4:W$20)</f>
        <v>0</v>
      </c>
      <c r="T5" s="89">
        <f ca="1">SUMIF('Inversión-Financiación'!$C$4:$AP$20,$A5,'Inversión-Financiación'!X$4:X$20)</f>
        <v>0</v>
      </c>
      <c r="U5" s="89">
        <f ca="1">SUMIF('Inversión-Financiación'!$C$4:$AP$20,$A5,'Inversión-Financiación'!Y$4:Y$20)</f>
        <v>0</v>
      </c>
      <c r="V5" s="89">
        <f ca="1">SUMIF('Inversión-Financiación'!$C$4:$AP$20,$A5,'Inversión-Financiación'!Z$4:Z$20)</f>
        <v>0</v>
      </c>
      <c r="W5" s="89">
        <f ca="1">SUMIF('Inversión-Financiación'!$C$4:$AP$20,$A5,'Inversión-Financiación'!AA$4:AA$20)</f>
        <v>0</v>
      </c>
      <c r="X5" s="89">
        <f ca="1">SUMIF('Inversión-Financiación'!$C$4:$AP$20,$A5,'Inversión-Financiación'!AB$4:AB$20)</f>
        <v>0</v>
      </c>
      <c r="Y5" s="89">
        <f ca="1">SUMIF('Inversión-Financiación'!$C$4:$AP$20,$A5,'Inversión-Financiación'!AC$4:AC$20)</f>
        <v>0</v>
      </c>
      <c r="Z5" s="89">
        <f ca="1">SUMIF('Inversión-Financiación'!$C$4:$AP$20,$A5,'Inversión-Financiación'!AD$4:AD$20)</f>
        <v>0</v>
      </c>
      <c r="AA5" s="88">
        <f ca="1">SUMIF('Inversión-Financiación'!$C$4:$AP$20,$A5,'Inversión-Financiación'!AE$4:AE$20)</f>
        <v>0</v>
      </c>
      <c r="AB5" s="88">
        <f ca="1">SUMIF('Inversión-Financiación'!$C$4:$AP$20,$A5,'Inversión-Financiación'!AF$4:AF$20)</f>
        <v>0</v>
      </c>
      <c r="AC5" s="88">
        <f ca="1">SUMIF('Inversión-Financiación'!$C$4:$AP$20,$A5,'Inversión-Financiación'!AG$4:AG$20)</f>
        <v>0</v>
      </c>
      <c r="AD5" s="88">
        <f ca="1">SUMIF('Inversión-Financiación'!$C$4:$AP$20,$A5,'Inversión-Financiación'!AH$4:AH$20)</f>
        <v>0</v>
      </c>
      <c r="AE5" s="88">
        <f ca="1">SUMIF('Inversión-Financiación'!$C$4:$AP$20,$A5,'Inversión-Financiación'!AI$4:AI$20)</f>
        <v>0</v>
      </c>
      <c r="AF5" s="88">
        <f ca="1">SUMIF('Inversión-Financiación'!$C$4:$AP$20,$A5,'Inversión-Financiación'!AJ$4:AJ$20)</f>
        <v>0</v>
      </c>
      <c r="AG5" s="88">
        <f ca="1">SUMIF('Inversión-Financiación'!$C$4:$AP$20,$A5,'Inversión-Financiación'!AK$4:AK$20)</f>
        <v>0</v>
      </c>
      <c r="AH5" s="88">
        <f ca="1">SUMIF('Inversión-Financiación'!$C$4:$AP$20,$A5,'Inversión-Financiación'!AL$4:AL$20)</f>
        <v>0</v>
      </c>
      <c r="AI5" s="88">
        <f ca="1">SUMIF('Inversión-Financiación'!$C$4:$AP$20,$A5,'Inversión-Financiación'!AM$4:AM$20)</f>
        <v>0</v>
      </c>
      <c r="AJ5" s="88">
        <f ca="1">SUMIF('Inversión-Financiación'!$C$4:$AP$20,$A5,'Inversión-Financiación'!AN$4:AN$20)</f>
        <v>0</v>
      </c>
      <c r="AK5" s="88">
        <f ca="1">SUMIF('Inversión-Financiación'!$C$4:$AP$20,$A5,'Inversión-Financiación'!AO$4:AO$20)</f>
        <v>0</v>
      </c>
      <c r="AL5" s="88">
        <f ca="1">SUMIF('Inversión-Financiación'!$C$4:$AP$20,$A5,'Inversión-Financiación'!AP$4:AP$20)</f>
        <v>0</v>
      </c>
    </row>
    <row r="6" spans="1:38" outlineLevel="1">
      <c r="A6" t="s">
        <v>25</v>
      </c>
      <c r="C6" s="88">
        <f ca="1">SUMIF('Inversión-Financiación'!$C$4:$AP$20,$A6,'Inversión-Financiación'!G$4:G$20)</f>
        <v>0</v>
      </c>
      <c r="D6" s="88">
        <f ca="1">SUMIF('Inversión-Financiación'!$C$4:$AP$20,$A6,'Inversión-Financiación'!H$4:H$20)</f>
        <v>0</v>
      </c>
      <c r="E6" s="88">
        <f ca="1">SUMIF('Inversión-Financiación'!$C$4:$AP$20,$A6,'Inversión-Financiación'!I$4:I$20)</f>
        <v>0</v>
      </c>
      <c r="F6" s="88">
        <f ca="1">SUMIF('Inversión-Financiación'!$C$4:$AP$20,$A6,'Inversión-Financiación'!J$4:J$20)</f>
        <v>0</v>
      </c>
      <c r="G6" s="88">
        <f ca="1">SUMIF('Inversión-Financiación'!$C$4:$AP$20,$A6,'Inversión-Financiación'!K$4:K$20)</f>
        <v>0</v>
      </c>
      <c r="H6" s="88">
        <f ca="1">SUMIF('Inversión-Financiación'!$C$4:$AP$20,$A6,'Inversión-Financiación'!L$4:L$20)</f>
        <v>0</v>
      </c>
      <c r="I6" s="88">
        <f ca="1">SUMIF('Inversión-Financiación'!$C$4:$AP$20,$A6,'Inversión-Financiación'!M$4:M$20)</f>
        <v>0</v>
      </c>
      <c r="J6" s="88">
        <f ca="1">SUMIF('Inversión-Financiación'!$C$4:$AP$20,$A6,'Inversión-Financiación'!N$4:N$20)</f>
        <v>0</v>
      </c>
      <c r="K6" s="88">
        <f ca="1">SUMIF('Inversión-Financiación'!$C$4:$AP$20,$A6,'Inversión-Financiación'!O$4:O$20)</f>
        <v>0</v>
      </c>
      <c r="L6" s="88">
        <f ca="1">SUMIF('Inversión-Financiación'!$C$4:$AP$20,$A6,'Inversión-Financiación'!P$4:P$20)</f>
        <v>0</v>
      </c>
      <c r="M6" s="88">
        <f ca="1">SUMIF('Inversión-Financiación'!$C$4:$AP$20,$A6,'Inversión-Financiación'!Q$4:Q$20)</f>
        <v>0</v>
      </c>
      <c r="N6" s="88">
        <f ca="1">SUMIF('Inversión-Financiación'!$C$4:$AP$20,$A6,'Inversión-Financiación'!R$4:R$20)</f>
        <v>0</v>
      </c>
      <c r="O6" s="89">
        <f ca="1">SUMIF('Inversión-Financiación'!$C$4:$AP$20,$A6,'Inversión-Financiación'!S$4:S$20)</f>
        <v>0</v>
      </c>
      <c r="P6" s="89">
        <f ca="1">SUMIF('Inversión-Financiación'!$C$4:$AP$20,$A6,'Inversión-Financiación'!T$4:T$20)</f>
        <v>0</v>
      </c>
      <c r="Q6" s="89">
        <f ca="1">SUMIF('Inversión-Financiación'!$C$4:$AP$20,$A6,'Inversión-Financiación'!U$4:U$20)</f>
        <v>0</v>
      </c>
      <c r="R6" s="89">
        <f ca="1">SUMIF('Inversión-Financiación'!$C$4:$AP$20,$A6,'Inversión-Financiación'!V$4:V$20)</f>
        <v>0</v>
      </c>
      <c r="S6" s="89">
        <f ca="1">SUMIF('Inversión-Financiación'!$C$4:$AP$20,$A6,'Inversión-Financiación'!W$4:W$20)</f>
        <v>0</v>
      </c>
      <c r="T6" s="89">
        <f ca="1">SUMIF('Inversión-Financiación'!$C$4:$AP$20,$A6,'Inversión-Financiación'!X$4:X$20)</f>
        <v>0</v>
      </c>
      <c r="U6" s="89">
        <f ca="1">SUMIF('Inversión-Financiación'!$C$4:$AP$20,$A6,'Inversión-Financiación'!Y$4:Y$20)</f>
        <v>0</v>
      </c>
      <c r="V6" s="89">
        <f ca="1">SUMIF('Inversión-Financiación'!$C$4:$AP$20,$A6,'Inversión-Financiación'!Z$4:Z$20)</f>
        <v>0</v>
      </c>
      <c r="W6" s="89">
        <f ca="1">SUMIF('Inversión-Financiación'!$C$4:$AP$20,$A6,'Inversión-Financiación'!AA$4:AA$20)</f>
        <v>0</v>
      </c>
      <c r="X6" s="89">
        <f ca="1">SUMIF('Inversión-Financiación'!$C$4:$AP$20,$A6,'Inversión-Financiación'!AB$4:AB$20)</f>
        <v>0</v>
      </c>
      <c r="Y6" s="89">
        <f ca="1">SUMIF('Inversión-Financiación'!$C$4:$AP$20,$A6,'Inversión-Financiación'!AC$4:AC$20)</f>
        <v>0</v>
      </c>
      <c r="Z6" s="89">
        <f ca="1">SUMIF('Inversión-Financiación'!$C$4:$AP$20,$A6,'Inversión-Financiación'!AD$4:AD$20)</f>
        <v>0</v>
      </c>
      <c r="AA6" s="88">
        <f ca="1">SUMIF('Inversión-Financiación'!$C$4:$AP$20,$A6,'Inversión-Financiación'!AE$4:AE$20)</f>
        <v>0</v>
      </c>
      <c r="AB6" s="88">
        <f ca="1">SUMIF('Inversión-Financiación'!$C$4:$AP$20,$A6,'Inversión-Financiación'!AF$4:AF$20)</f>
        <v>0</v>
      </c>
      <c r="AC6" s="88">
        <f ca="1">SUMIF('Inversión-Financiación'!$C$4:$AP$20,$A6,'Inversión-Financiación'!AG$4:AG$20)</f>
        <v>0</v>
      </c>
      <c r="AD6" s="88">
        <f ca="1">SUMIF('Inversión-Financiación'!$C$4:$AP$20,$A6,'Inversión-Financiación'!AH$4:AH$20)</f>
        <v>0</v>
      </c>
      <c r="AE6" s="88">
        <f ca="1">SUMIF('Inversión-Financiación'!$C$4:$AP$20,$A6,'Inversión-Financiación'!AI$4:AI$20)</f>
        <v>0</v>
      </c>
      <c r="AF6" s="88">
        <f ca="1">SUMIF('Inversión-Financiación'!$C$4:$AP$20,$A6,'Inversión-Financiación'!AJ$4:AJ$20)</f>
        <v>0</v>
      </c>
      <c r="AG6" s="88">
        <f ca="1">SUMIF('Inversión-Financiación'!$C$4:$AP$20,$A6,'Inversión-Financiación'!AK$4:AK$20)</f>
        <v>0</v>
      </c>
      <c r="AH6" s="88">
        <f ca="1">SUMIF('Inversión-Financiación'!$C$4:$AP$20,$A6,'Inversión-Financiación'!AL$4:AL$20)</f>
        <v>0</v>
      </c>
      <c r="AI6" s="88">
        <f ca="1">SUMIF('Inversión-Financiación'!$C$4:$AP$20,$A6,'Inversión-Financiación'!AM$4:AM$20)</f>
        <v>0</v>
      </c>
      <c r="AJ6" s="88">
        <f ca="1">SUMIF('Inversión-Financiación'!$C$4:$AP$20,$A6,'Inversión-Financiación'!AN$4:AN$20)</f>
        <v>0</v>
      </c>
      <c r="AK6" s="88">
        <f ca="1">SUMIF('Inversión-Financiación'!$C$4:$AP$20,$A6,'Inversión-Financiación'!AO$4:AO$20)</f>
        <v>0</v>
      </c>
      <c r="AL6" s="88">
        <f ca="1">SUMIF('Inversión-Financiación'!$C$4:$AP$20,$A6,'Inversión-Financiación'!AP$4:AP$20)</f>
        <v>0</v>
      </c>
    </row>
    <row r="7" spans="1:38" outlineLevel="1">
      <c r="A7" t="s">
        <v>26</v>
      </c>
      <c r="C7" s="88">
        <f ca="1">SUMIF('Inversión-Financiación'!$C$4:$AP$20,$A7,'Inversión-Financiación'!G$4:G$20)</f>
        <v>0</v>
      </c>
      <c r="D7" s="88">
        <f ca="1">SUMIF('Inversión-Financiación'!$C$4:$AP$20,$A7,'Inversión-Financiación'!H$4:H$20)</f>
        <v>0</v>
      </c>
      <c r="E7" s="88">
        <f ca="1">SUMIF('Inversión-Financiación'!$C$4:$AP$20,$A7,'Inversión-Financiación'!I$4:I$20)</f>
        <v>0</v>
      </c>
      <c r="F7" s="88">
        <f ca="1">SUMIF('Inversión-Financiación'!$C$4:$AP$20,$A7,'Inversión-Financiación'!J$4:J$20)</f>
        <v>0</v>
      </c>
      <c r="G7" s="88">
        <f ca="1">SUMIF('Inversión-Financiación'!$C$4:$AP$20,$A7,'Inversión-Financiación'!K$4:K$20)</f>
        <v>0</v>
      </c>
      <c r="H7" s="88">
        <f ca="1">SUMIF('Inversión-Financiación'!$C$4:$AP$20,$A7,'Inversión-Financiación'!L$4:L$20)</f>
        <v>0</v>
      </c>
      <c r="I7" s="88">
        <f ca="1">SUMIF('Inversión-Financiación'!$C$4:$AP$20,$A7,'Inversión-Financiación'!M$4:M$20)</f>
        <v>0</v>
      </c>
      <c r="J7" s="88">
        <f ca="1">SUMIF('Inversión-Financiación'!$C$4:$AP$20,$A7,'Inversión-Financiación'!N$4:N$20)</f>
        <v>0</v>
      </c>
      <c r="K7" s="88">
        <f ca="1">SUMIF('Inversión-Financiación'!$C$4:$AP$20,$A7,'Inversión-Financiación'!O$4:O$20)</f>
        <v>0</v>
      </c>
      <c r="L7" s="88">
        <f ca="1">SUMIF('Inversión-Financiación'!$C$4:$AP$20,$A7,'Inversión-Financiación'!P$4:P$20)</f>
        <v>0</v>
      </c>
      <c r="M7" s="88">
        <f ca="1">SUMIF('Inversión-Financiación'!$C$4:$AP$20,$A7,'Inversión-Financiación'!Q$4:Q$20)</f>
        <v>0</v>
      </c>
      <c r="N7" s="88">
        <f ca="1">SUMIF('Inversión-Financiación'!$C$4:$AP$20,$A7,'Inversión-Financiación'!R$4:R$20)</f>
        <v>0</v>
      </c>
      <c r="O7" s="89">
        <f ca="1">SUMIF('Inversión-Financiación'!$C$4:$AP$20,$A7,'Inversión-Financiación'!S$4:S$20)</f>
        <v>0</v>
      </c>
      <c r="P7" s="89">
        <f ca="1">SUMIF('Inversión-Financiación'!$C$4:$AP$20,$A7,'Inversión-Financiación'!T$4:T$20)</f>
        <v>0</v>
      </c>
      <c r="Q7" s="89">
        <f ca="1">SUMIF('Inversión-Financiación'!$C$4:$AP$20,$A7,'Inversión-Financiación'!U$4:U$20)</f>
        <v>0</v>
      </c>
      <c r="R7" s="89">
        <f ca="1">SUMIF('Inversión-Financiación'!$C$4:$AP$20,$A7,'Inversión-Financiación'!V$4:V$20)</f>
        <v>0</v>
      </c>
      <c r="S7" s="89">
        <f ca="1">SUMIF('Inversión-Financiación'!$C$4:$AP$20,$A7,'Inversión-Financiación'!W$4:W$20)</f>
        <v>0</v>
      </c>
      <c r="T7" s="89">
        <f ca="1">SUMIF('Inversión-Financiación'!$C$4:$AP$20,$A7,'Inversión-Financiación'!X$4:X$20)</f>
        <v>0</v>
      </c>
      <c r="U7" s="89">
        <f ca="1">SUMIF('Inversión-Financiación'!$C$4:$AP$20,$A7,'Inversión-Financiación'!Y$4:Y$20)</f>
        <v>0</v>
      </c>
      <c r="V7" s="89">
        <f ca="1">SUMIF('Inversión-Financiación'!$C$4:$AP$20,$A7,'Inversión-Financiación'!Z$4:Z$20)</f>
        <v>0</v>
      </c>
      <c r="W7" s="89">
        <f ca="1">SUMIF('Inversión-Financiación'!$C$4:$AP$20,$A7,'Inversión-Financiación'!AA$4:AA$20)</f>
        <v>0</v>
      </c>
      <c r="X7" s="89">
        <f ca="1">SUMIF('Inversión-Financiación'!$C$4:$AP$20,$A7,'Inversión-Financiación'!AB$4:AB$20)</f>
        <v>0</v>
      </c>
      <c r="Y7" s="89">
        <f ca="1">SUMIF('Inversión-Financiación'!$C$4:$AP$20,$A7,'Inversión-Financiación'!AC$4:AC$20)</f>
        <v>0</v>
      </c>
      <c r="Z7" s="89">
        <f ca="1">SUMIF('Inversión-Financiación'!$C$4:$AP$20,$A7,'Inversión-Financiación'!AD$4:AD$20)</f>
        <v>0</v>
      </c>
      <c r="AA7" s="88">
        <f ca="1">SUMIF('Inversión-Financiación'!$C$4:$AP$20,$A7,'Inversión-Financiación'!AE$4:AE$20)</f>
        <v>0</v>
      </c>
      <c r="AB7" s="88">
        <f ca="1">SUMIF('Inversión-Financiación'!$C$4:$AP$20,$A7,'Inversión-Financiación'!AF$4:AF$20)</f>
        <v>0</v>
      </c>
      <c r="AC7" s="88">
        <f ca="1">SUMIF('Inversión-Financiación'!$C$4:$AP$20,$A7,'Inversión-Financiación'!AG$4:AG$20)</f>
        <v>0</v>
      </c>
      <c r="AD7" s="88">
        <f ca="1">SUMIF('Inversión-Financiación'!$C$4:$AP$20,$A7,'Inversión-Financiación'!AH$4:AH$20)</f>
        <v>0</v>
      </c>
      <c r="AE7" s="88">
        <f ca="1">SUMIF('Inversión-Financiación'!$C$4:$AP$20,$A7,'Inversión-Financiación'!AI$4:AI$20)</f>
        <v>0</v>
      </c>
      <c r="AF7" s="88">
        <f ca="1">SUMIF('Inversión-Financiación'!$C$4:$AP$20,$A7,'Inversión-Financiación'!AJ$4:AJ$20)</f>
        <v>0</v>
      </c>
      <c r="AG7" s="88">
        <f ca="1">SUMIF('Inversión-Financiación'!$C$4:$AP$20,$A7,'Inversión-Financiación'!AK$4:AK$20)</f>
        <v>0</v>
      </c>
      <c r="AH7" s="88">
        <f ca="1">SUMIF('Inversión-Financiación'!$C$4:$AP$20,$A7,'Inversión-Financiación'!AL$4:AL$20)</f>
        <v>0</v>
      </c>
      <c r="AI7" s="88">
        <f ca="1">SUMIF('Inversión-Financiación'!$C$4:$AP$20,$A7,'Inversión-Financiación'!AM$4:AM$20)</f>
        <v>0</v>
      </c>
      <c r="AJ7" s="88">
        <f ca="1">SUMIF('Inversión-Financiación'!$C$4:$AP$20,$A7,'Inversión-Financiación'!AN$4:AN$20)</f>
        <v>0</v>
      </c>
      <c r="AK7" s="88">
        <f ca="1">SUMIF('Inversión-Financiación'!$C$4:$AP$20,$A7,'Inversión-Financiación'!AO$4:AO$20)</f>
        <v>0</v>
      </c>
      <c r="AL7" s="88">
        <f ca="1">SUMIF('Inversión-Financiación'!$C$4:$AP$20,$A7,'Inversión-Financiación'!AP$4:AP$20)</f>
        <v>0</v>
      </c>
    </row>
    <row r="8" spans="1:38" outlineLevel="1">
      <c r="A8" t="s">
        <v>27</v>
      </c>
      <c r="C8" s="88">
        <f ca="1">SUMIF('Inversión-Financiación'!$C$4:$AP$20,$A8,'Inversión-Financiación'!G$4:G$20)</f>
        <v>0</v>
      </c>
      <c r="D8" s="88">
        <f ca="1">SUMIF('Inversión-Financiación'!$C$4:$AP$20,$A8,'Inversión-Financiación'!H$4:H$20)</f>
        <v>0</v>
      </c>
      <c r="E8" s="88">
        <f ca="1">SUMIF('Inversión-Financiación'!$C$4:$AP$20,$A8,'Inversión-Financiación'!I$4:I$20)</f>
        <v>0</v>
      </c>
      <c r="F8" s="88">
        <f ca="1">SUMIF('Inversión-Financiación'!$C$4:$AP$20,$A8,'Inversión-Financiación'!J$4:J$20)</f>
        <v>0</v>
      </c>
      <c r="G8" s="88">
        <f ca="1">SUMIF('Inversión-Financiación'!$C$4:$AP$20,$A8,'Inversión-Financiación'!K$4:K$20)</f>
        <v>0</v>
      </c>
      <c r="H8" s="88">
        <f ca="1">SUMIF('Inversión-Financiación'!$C$4:$AP$20,$A8,'Inversión-Financiación'!L$4:L$20)</f>
        <v>0</v>
      </c>
      <c r="I8" s="88">
        <f ca="1">SUMIF('Inversión-Financiación'!$C$4:$AP$20,$A8,'Inversión-Financiación'!M$4:M$20)</f>
        <v>0</v>
      </c>
      <c r="J8" s="88">
        <f ca="1">SUMIF('Inversión-Financiación'!$C$4:$AP$20,$A8,'Inversión-Financiación'!N$4:N$20)</f>
        <v>0</v>
      </c>
      <c r="K8" s="88">
        <f ca="1">SUMIF('Inversión-Financiación'!$C$4:$AP$20,$A8,'Inversión-Financiación'!O$4:O$20)</f>
        <v>0</v>
      </c>
      <c r="L8" s="88">
        <f ca="1">SUMIF('Inversión-Financiación'!$C$4:$AP$20,$A8,'Inversión-Financiación'!P$4:P$20)</f>
        <v>0</v>
      </c>
      <c r="M8" s="88">
        <f ca="1">SUMIF('Inversión-Financiación'!$C$4:$AP$20,$A8,'Inversión-Financiación'!Q$4:Q$20)</f>
        <v>0</v>
      </c>
      <c r="N8" s="88">
        <f ca="1">SUMIF('Inversión-Financiación'!$C$4:$AP$20,$A8,'Inversión-Financiación'!R$4:R$20)</f>
        <v>0</v>
      </c>
      <c r="O8" s="89">
        <f ca="1">SUMIF('Inversión-Financiación'!$C$4:$AP$20,$A8,'Inversión-Financiación'!S$4:S$20)</f>
        <v>0</v>
      </c>
      <c r="P8" s="89">
        <f ca="1">SUMIF('Inversión-Financiación'!$C$4:$AP$20,$A8,'Inversión-Financiación'!T$4:T$20)</f>
        <v>0</v>
      </c>
      <c r="Q8" s="89">
        <f ca="1">SUMIF('Inversión-Financiación'!$C$4:$AP$20,$A8,'Inversión-Financiación'!U$4:U$20)</f>
        <v>0</v>
      </c>
      <c r="R8" s="89">
        <f ca="1">SUMIF('Inversión-Financiación'!$C$4:$AP$20,$A8,'Inversión-Financiación'!V$4:V$20)</f>
        <v>0</v>
      </c>
      <c r="S8" s="89">
        <f ca="1">SUMIF('Inversión-Financiación'!$C$4:$AP$20,$A8,'Inversión-Financiación'!W$4:W$20)</f>
        <v>0</v>
      </c>
      <c r="T8" s="89">
        <f ca="1">SUMIF('Inversión-Financiación'!$C$4:$AP$20,$A8,'Inversión-Financiación'!X$4:X$20)</f>
        <v>0</v>
      </c>
      <c r="U8" s="89">
        <f ca="1">SUMIF('Inversión-Financiación'!$C$4:$AP$20,$A8,'Inversión-Financiación'!Y$4:Y$20)</f>
        <v>0</v>
      </c>
      <c r="V8" s="89">
        <f ca="1">SUMIF('Inversión-Financiación'!$C$4:$AP$20,$A8,'Inversión-Financiación'!Z$4:Z$20)</f>
        <v>0</v>
      </c>
      <c r="W8" s="89">
        <f ca="1">SUMIF('Inversión-Financiación'!$C$4:$AP$20,$A8,'Inversión-Financiación'!AA$4:AA$20)</f>
        <v>0</v>
      </c>
      <c r="X8" s="89">
        <f ca="1">SUMIF('Inversión-Financiación'!$C$4:$AP$20,$A8,'Inversión-Financiación'!AB$4:AB$20)</f>
        <v>0</v>
      </c>
      <c r="Y8" s="89">
        <f ca="1">SUMIF('Inversión-Financiación'!$C$4:$AP$20,$A8,'Inversión-Financiación'!AC$4:AC$20)</f>
        <v>0</v>
      </c>
      <c r="Z8" s="89">
        <f ca="1">SUMIF('Inversión-Financiación'!$C$4:$AP$20,$A8,'Inversión-Financiación'!AD$4:AD$20)</f>
        <v>0</v>
      </c>
      <c r="AA8" s="88">
        <f ca="1">SUMIF('Inversión-Financiación'!$C$4:$AP$20,$A8,'Inversión-Financiación'!AE$4:AE$20)</f>
        <v>0</v>
      </c>
      <c r="AB8" s="88">
        <f ca="1">SUMIF('Inversión-Financiación'!$C$4:$AP$20,$A8,'Inversión-Financiación'!AF$4:AF$20)</f>
        <v>0</v>
      </c>
      <c r="AC8" s="88">
        <f ca="1">SUMIF('Inversión-Financiación'!$C$4:$AP$20,$A8,'Inversión-Financiación'!AG$4:AG$20)</f>
        <v>0</v>
      </c>
      <c r="AD8" s="88">
        <f ca="1">SUMIF('Inversión-Financiación'!$C$4:$AP$20,$A8,'Inversión-Financiación'!AH$4:AH$20)</f>
        <v>0</v>
      </c>
      <c r="AE8" s="88">
        <f ca="1">SUMIF('Inversión-Financiación'!$C$4:$AP$20,$A8,'Inversión-Financiación'!AI$4:AI$20)</f>
        <v>0</v>
      </c>
      <c r="AF8" s="88">
        <f ca="1">SUMIF('Inversión-Financiación'!$C$4:$AP$20,$A8,'Inversión-Financiación'!AJ$4:AJ$20)</f>
        <v>0</v>
      </c>
      <c r="AG8" s="88">
        <f ca="1">SUMIF('Inversión-Financiación'!$C$4:$AP$20,$A8,'Inversión-Financiación'!AK$4:AK$20)</f>
        <v>0</v>
      </c>
      <c r="AH8" s="88">
        <f ca="1">SUMIF('Inversión-Financiación'!$C$4:$AP$20,$A8,'Inversión-Financiación'!AL$4:AL$20)</f>
        <v>0</v>
      </c>
      <c r="AI8" s="88">
        <f ca="1">SUMIF('Inversión-Financiación'!$C$4:$AP$20,$A8,'Inversión-Financiación'!AM$4:AM$20)</f>
        <v>0</v>
      </c>
      <c r="AJ8" s="88">
        <f ca="1">SUMIF('Inversión-Financiación'!$C$4:$AP$20,$A8,'Inversión-Financiación'!AN$4:AN$20)</f>
        <v>0</v>
      </c>
      <c r="AK8" s="88">
        <f ca="1">SUMIF('Inversión-Financiación'!$C$4:$AP$20,$A8,'Inversión-Financiación'!AO$4:AO$20)</f>
        <v>0</v>
      </c>
      <c r="AL8" s="88">
        <f ca="1">SUMIF('Inversión-Financiación'!$C$4:$AP$20,$A8,'Inversión-Financiación'!AP$4:AP$20)</f>
        <v>0</v>
      </c>
    </row>
    <row r="9" spans="1:38" outlineLevel="1">
      <c r="A9" t="s">
        <v>28</v>
      </c>
      <c r="C9" s="88">
        <f ca="1">SUMIF('Inversión-Financiación'!$C$4:$AP$20,$A9,'Inversión-Financiación'!G$4:G$20)</f>
        <v>0</v>
      </c>
      <c r="D9" s="88">
        <f ca="1">SUMIF('Inversión-Financiación'!$C$4:$AP$20,$A9,'Inversión-Financiación'!H$4:H$20)</f>
        <v>0</v>
      </c>
      <c r="E9" s="88">
        <f ca="1">SUMIF('Inversión-Financiación'!$C$4:$AP$20,$A9,'Inversión-Financiación'!I$4:I$20)</f>
        <v>0</v>
      </c>
      <c r="F9" s="88">
        <f ca="1">SUMIF('Inversión-Financiación'!$C$4:$AP$20,$A9,'Inversión-Financiación'!J$4:J$20)</f>
        <v>0</v>
      </c>
      <c r="G9" s="88">
        <f ca="1">SUMIF('Inversión-Financiación'!$C$4:$AP$20,$A9,'Inversión-Financiación'!K$4:K$20)</f>
        <v>0</v>
      </c>
      <c r="H9" s="88">
        <f ca="1">SUMIF('Inversión-Financiación'!$C$4:$AP$20,$A9,'Inversión-Financiación'!L$4:L$20)</f>
        <v>0</v>
      </c>
      <c r="I9" s="88">
        <f ca="1">SUMIF('Inversión-Financiación'!$C$4:$AP$20,$A9,'Inversión-Financiación'!M$4:M$20)</f>
        <v>0</v>
      </c>
      <c r="J9" s="88">
        <f ca="1">SUMIF('Inversión-Financiación'!$C$4:$AP$20,$A9,'Inversión-Financiación'!N$4:N$20)</f>
        <v>0</v>
      </c>
      <c r="K9" s="88">
        <f ca="1">SUMIF('Inversión-Financiación'!$C$4:$AP$20,$A9,'Inversión-Financiación'!O$4:O$20)</f>
        <v>0</v>
      </c>
      <c r="L9" s="88">
        <f ca="1">SUMIF('Inversión-Financiación'!$C$4:$AP$20,$A9,'Inversión-Financiación'!P$4:P$20)</f>
        <v>0</v>
      </c>
      <c r="M9" s="88">
        <f ca="1">SUMIF('Inversión-Financiación'!$C$4:$AP$20,$A9,'Inversión-Financiación'!Q$4:Q$20)</f>
        <v>0</v>
      </c>
      <c r="N9" s="88">
        <f ca="1">SUMIF('Inversión-Financiación'!$C$4:$AP$20,$A9,'Inversión-Financiación'!R$4:R$20)</f>
        <v>0</v>
      </c>
      <c r="O9" s="89">
        <f ca="1">SUMIF('Inversión-Financiación'!$C$4:$AP$20,$A9,'Inversión-Financiación'!S$4:S$20)</f>
        <v>0</v>
      </c>
      <c r="P9" s="89">
        <f ca="1">SUMIF('Inversión-Financiación'!$C$4:$AP$20,$A9,'Inversión-Financiación'!T$4:T$20)</f>
        <v>0</v>
      </c>
      <c r="Q9" s="89">
        <f ca="1">SUMIF('Inversión-Financiación'!$C$4:$AP$20,$A9,'Inversión-Financiación'!U$4:U$20)</f>
        <v>0</v>
      </c>
      <c r="R9" s="89">
        <f ca="1">SUMIF('Inversión-Financiación'!$C$4:$AP$20,$A9,'Inversión-Financiación'!V$4:V$20)</f>
        <v>0</v>
      </c>
      <c r="S9" s="89">
        <f ca="1">SUMIF('Inversión-Financiación'!$C$4:$AP$20,$A9,'Inversión-Financiación'!W$4:W$20)</f>
        <v>0</v>
      </c>
      <c r="T9" s="89">
        <f ca="1">SUMIF('Inversión-Financiación'!$C$4:$AP$20,$A9,'Inversión-Financiación'!X$4:X$20)</f>
        <v>0</v>
      </c>
      <c r="U9" s="89">
        <f ca="1">SUMIF('Inversión-Financiación'!$C$4:$AP$20,$A9,'Inversión-Financiación'!Y$4:Y$20)</f>
        <v>0</v>
      </c>
      <c r="V9" s="89">
        <f ca="1">SUMIF('Inversión-Financiación'!$C$4:$AP$20,$A9,'Inversión-Financiación'!Z$4:Z$20)</f>
        <v>0</v>
      </c>
      <c r="W9" s="89">
        <f ca="1">SUMIF('Inversión-Financiación'!$C$4:$AP$20,$A9,'Inversión-Financiación'!AA$4:AA$20)</f>
        <v>0</v>
      </c>
      <c r="X9" s="89">
        <f ca="1">SUMIF('Inversión-Financiación'!$C$4:$AP$20,$A9,'Inversión-Financiación'!AB$4:AB$20)</f>
        <v>0</v>
      </c>
      <c r="Y9" s="89">
        <f ca="1">SUMIF('Inversión-Financiación'!$C$4:$AP$20,$A9,'Inversión-Financiación'!AC$4:AC$20)</f>
        <v>0</v>
      </c>
      <c r="Z9" s="89">
        <f ca="1">SUMIF('Inversión-Financiación'!$C$4:$AP$20,$A9,'Inversión-Financiación'!AD$4:AD$20)</f>
        <v>0</v>
      </c>
      <c r="AA9" s="88">
        <f ca="1">SUMIF('Inversión-Financiación'!$C$4:$AP$20,$A9,'Inversión-Financiación'!AE$4:AE$20)</f>
        <v>0</v>
      </c>
      <c r="AB9" s="88">
        <f ca="1">SUMIF('Inversión-Financiación'!$C$4:$AP$20,$A9,'Inversión-Financiación'!AF$4:AF$20)</f>
        <v>0</v>
      </c>
      <c r="AC9" s="88">
        <f ca="1">SUMIF('Inversión-Financiación'!$C$4:$AP$20,$A9,'Inversión-Financiación'!AG$4:AG$20)</f>
        <v>0</v>
      </c>
      <c r="AD9" s="88">
        <f ca="1">SUMIF('Inversión-Financiación'!$C$4:$AP$20,$A9,'Inversión-Financiación'!AH$4:AH$20)</f>
        <v>0</v>
      </c>
      <c r="AE9" s="88">
        <f ca="1">SUMIF('Inversión-Financiación'!$C$4:$AP$20,$A9,'Inversión-Financiación'!AI$4:AI$20)</f>
        <v>0</v>
      </c>
      <c r="AF9" s="88">
        <f ca="1">SUMIF('Inversión-Financiación'!$C$4:$AP$20,$A9,'Inversión-Financiación'!AJ$4:AJ$20)</f>
        <v>0</v>
      </c>
      <c r="AG9" s="88">
        <f ca="1">SUMIF('Inversión-Financiación'!$C$4:$AP$20,$A9,'Inversión-Financiación'!AK$4:AK$20)</f>
        <v>0</v>
      </c>
      <c r="AH9" s="88">
        <f ca="1">SUMIF('Inversión-Financiación'!$C$4:$AP$20,$A9,'Inversión-Financiación'!AL$4:AL$20)</f>
        <v>0</v>
      </c>
      <c r="AI9" s="88">
        <f ca="1">SUMIF('Inversión-Financiación'!$C$4:$AP$20,$A9,'Inversión-Financiación'!AM$4:AM$20)</f>
        <v>0</v>
      </c>
      <c r="AJ9" s="88">
        <f ca="1">SUMIF('Inversión-Financiación'!$C$4:$AP$20,$A9,'Inversión-Financiación'!AN$4:AN$20)</f>
        <v>0</v>
      </c>
      <c r="AK9" s="88">
        <f ca="1">SUMIF('Inversión-Financiación'!$C$4:$AP$20,$A9,'Inversión-Financiación'!AO$4:AO$20)</f>
        <v>0</v>
      </c>
      <c r="AL9" s="88">
        <f ca="1">SUMIF('Inversión-Financiación'!$C$4:$AP$20,$A9,'Inversión-Financiación'!AP$4:AP$20)</f>
        <v>0</v>
      </c>
    </row>
    <row r="10" spans="1:38" outlineLevel="1">
      <c r="A10" t="s">
        <v>29</v>
      </c>
      <c r="C10" s="88">
        <f ca="1">SUMIF('Inversión-Financiación'!$C$4:$AP$20,$A10,'Inversión-Financiación'!G$4:G$20)</f>
        <v>0</v>
      </c>
      <c r="D10" s="88">
        <f ca="1">SUMIF('Inversión-Financiación'!$C$4:$AP$20,$A10,'Inversión-Financiación'!H$4:H$20)</f>
        <v>0</v>
      </c>
      <c r="E10" s="88">
        <f ca="1">SUMIF('Inversión-Financiación'!$C$4:$AP$20,$A10,'Inversión-Financiación'!I$4:I$20)</f>
        <v>0</v>
      </c>
      <c r="F10" s="88">
        <f ca="1">SUMIF('Inversión-Financiación'!$C$4:$AP$20,$A10,'Inversión-Financiación'!J$4:J$20)</f>
        <v>0</v>
      </c>
      <c r="G10" s="88">
        <f ca="1">SUMIF('Inversión-Financiación'!$C$4:$AP$20,$A10,'Inversión-Financiación'!K$4:K$20)</f>
        <v>0</v>
      </c>
      <c r="H10" s="88">
        <f ca="1">SUMIF('Inversión-Financiación'!$C$4:$AP$20,$A10,'Inversión-Financiación'!L$4:L$20)</f>
        <v>0</v>
      </c>
      <c r="I10" s="88">
        <f ca="1">SUMIF('Inversión-Financiación'!$C$4:$AP$20,$A10,'Inversión-Financiación'!M$4:M$20)</f>
        <v>0</v>
      </c>
      <c r="J10" s="88">
        <f ca="1">SUMIF('Inversión-Financiación'!$C$4:$AP$20,$A10,'Inversión-Financiación'!N$4:N$20)</f>
        <v>0</v>
      </c>
      <c r="K10" s="88">
        <f ca="1">SUMIF('Inversión-Financiación'!$C$4:$AP$20,$A10,'Inversión-Financiación'!O$4:O$20)</f>
        <v>0</v>
      </c>
      <c r="L10" s="88">
        <f ca="1">SUMIF('Inversión-Financiación'!$C$4:$AP$20,$A10,'Inversión-Financiación'!P$4:P$20)</f>
        <v>0</v>
      </c>
      <c r="M10" s="88">
        <f ca="1">SUMIF('Inversión-Financiación'!$C$4:$AP$20,$A10,'Inversión-Financiación'!Q$4:Q$20)</f>
        <v>0</v>
      </c>
      <c r="N10" s="88">
        <f ca="1">SUMIF('Inversión-Financiación'!$C$4:$AP$20,$A10,'Inversión-Financiación'!R$4:R$20)</f>
        <v>0</v>
      </c>
      <c r="O10" s="89">
        <f ca="1">SUMIF('Inversión-Financiación'!$C$4:$AP$20,$A10,'Inversión-Financiación'!S$4:S$20)</f>
        <v>0</v>
      </c>
      <c r="P10" s="89">
        <f ca="1">SUMIF('Inversión-Financiación'!$C$4:$AP$20,$A10,'Inversión-Financiación'!T$4:T$20)</f>
        <v>0</v>
      </c>
      <c r="Q10" s="89">
        <f ca="1">SUMIF('Inversión-Financiación'!$C$4:$AP$20,$A10,'Inversión-Financiación'!U$4:U$20)</f>
        <v>0</v>
      </c>
      <c r="R10" s="89">
        <f ca="1">SUMIF('Inversión-Financiación'!$C$4:$AP$20,$A10,'Inversión-Financiación'!V$4:V$20)</f>
        <v>0</v>
      </c>
      <c r="S10" s="89">
        <f ca="1">SUMIF('Inversión-Financiación'!$C$4:$AP$20,$A10,'Inversión-Financiación'!W$4:W$20)</f>
        <v>0</v>
      </c>
      <c r="T10" s="89">
        <f ca="1">SUMIF('Inversión-Financiación'!$C$4:$AP$20,$A10,'Inversión-Financiación'!X$4:X$20)</f>
        <v>0</v>
      </c>
      <c r="U10" s="89">
        <f ca="1">SUMIF('Inversión-Financiación'!$C$4:$AP$20,$A10,'Inversión-Financiación'!Y$4:Y$20)</f>
        <v>0</v>
      </c>
      <c r="V10" s="89">
        <f ca="1">SUMIF('Inversión-Financiación'!$C$4:$AP$20,$A10,'Inversión-Financiación'!Z$4:Z$20)</f>
        <v>0</v>
      </c>
      <c r="W10" s="89">
        <f ca="1">SUMIF('Inversión-Financiación'!$C$4:$AP$20,$A10,'Inversión-Financiación'!AA$4:AA$20)</f>
        <v>0</v>
      </c>
      <c r="X10" s="89">
        <f ca="1">SUMIF('Inversión-Financiación'!$C$4:$AP$20,$A10,'Inversión-Financiación'!AB$4:AB$20)</f>
        <v>0</v>
      </c>
      <c r="Y10" s="89">
        <f ca="1">SUMIF('Inversión-Financiación'!$C$4:$AP$20,$A10,'Inversión-Financiación'!AC$4:AC$20)</f>
        <v>0</v>
      </c>
      <c r="Z10" s="89">
        <f ca="1">SUMIF('Inversión-Financiación'!$C$4:$AP$20,$A10,'Inversión-Financiación'!AD$4:AD$20)</f>
        <v>0</v>
      </c>
      <c r="AA10" s="88">
        <f ca="1">SUMIF('Inversión-Financiación'!$C$4:$AP$20,$A10,'Inversión-Financiación'!AE$4:AE$20)</f>
        <v>0</v>
      </c>
      <c r="AB10" s="88">
        <f ca="1">SUMIF('Inversión-Financiación'!$C$4:$AP$20,$A10,'Inversión-Financiación'!AF$4:AF$20)</f>
        <v>0</v>
      </c>
      <c r="AC10" s="88">
        <f ca="1">SUMIF('Inversión-Financiación'!$C$4:$AP$20,$A10,'Inversión-Financiación'!AG$4:AG$20)</f>
        <v>0</v>
      </c>
      <c r="AD10" s="88">
        <f ca="1">SUMIF('Inversión-Financiación'!$C$4:$AP$20,$A10,'Inversión-Financiación'!AH$4:AH$20)</f>
        <v>0</v>
      </c>
      <c r="AE10" s="88">
        <f ca="1">SUMIF('Inversión-Financiación'!$C$4:$AP$20,$A10,'Inversión-Financiación'!AI$4:AI$20)</f>
        <v>0</v>
      </c>
      <c r="AF10" s="88">
        <f ca="1">SUMIF('Inversión-Financiación'!$C$4:$AP$20,$A10,'Inversión-Financiación'!AJ$4:AJ$20)</f>
        <v>0</v>
      </c>
      <c r="AG10" s="88">
        <f ca="1">SUMIF('Inversión-Financiación'!$C$4:$AP$20,$A10,'Inversión-Financiación'!AK$4:AK$20)</f>
        <v>0</v>
      </c>
      <c r="AH10" s="88">
        <f ca="1">SUMIF('Inversión-Financiación'!$C$4:$AP$20,$A10,'Inversión-Financiación'!AL$4:AL$20)</f>
        <v>0</v>
      </c>
      <c r="AI10" s="88">
        <f ca="1">SUMIF('Inversión-Financiación'!$C$4:$AP$20,$A10,'Inversión-Financiación'!AM$4:AM$20)</f>
        <v>0</v>
      </c>
      <c r="AJ10" s="88">
        <f ca="1">SUMIF('Inversión-Financiación'!$C$4:$AP$20,$A10,'Inversión-Financiación'!AN$4:AN$20)</f>
        <v>0</v>
      </c>
      <c r="AK10" s="88">
        <f ca="1">SUMIF('Inversión-Financiación'!$C$4:$AP$20,$A10,'Inversión-Financiación'!AO$4:AO$20)</f>
        <v>0</v>
      </c>
      <c r="AL10" s="88">
        <f ca="1">SUMIF('Inversión-Financiación'!$C$4:$AP$20,$A10,'Inversión-Financiación'!AP$4:AP$20)</f>
        <v>0</v>
      </c>
    </row>
    <row r="11" spans="1:38" outlineLevel="1">
      <c r="A11" t="s">
        <v>30</v>
      </c>
      <c r="C11" s="88">
        <f ca="1">SUMIF('Inversión-Financiación'!$C$4:$AP$20,$A11,'Inversión-Financiación'!G$4:G$20)</f>
        <v>0</v>
      </c>
      <c r="D11" s="88">
        <f ca="1">SUMIF('Inversión-Financiación'!$C$4:$AP$20,$A11,'Inversión-Financiación'!H$4:H$20)</f>
        <v>0</v>
      </c>
      <c r="E11" s="88">
        <f ca="1">SUMIF('Inversión-Financiación'!$C$4:$AP$20,$A11,'Inversión-Financiación'!I$4:I$20)</f>
        <v>0</v>
      </c>
      <c r="F11" s="88">
        <f ca="1">SUMIF('Inversión-Financiación'!$C$4:$AP$20,$A11,'Inversión-Financiación'!J$4:J$20)</f>
        <v>0</v>
      </c>
      <c r="G11" s="88">
        <f ca="1">SUMIF('Inversión-Financiación'!$C$4:$AP$20,$A11,'Inversión-Financiación'!K$4:K$20)</f>
        <v>0</v>
      </c>
      <c r="H11" s="88">
        <f ca="1">SUMIF('Inversión-Financiación'!$C$4:$AP$20,$A11,'Inversión-Financiación'!L$4:L$20)</f>
        <v>0</v>
      </c>
      <c r="I11" s="88">
        <f ca="1">SUMIF('Inversión-Financiación'!$C$4:$AP$20,$A11,'Inversión-Financiación'!M$4:M$20)</f>
        <v>0</v>
      </c>
      <c r="J11" s="88">
        <f ca="1">SUMIF('Inversión-Financiación'!$C$4:$AP$20,$A11,'Inversión-Financiación'!N$4:N$20)</f>
        <v>0</v>
      </c>
      <c r="K11" s="88">
        <f ca="1">SUMIF('Inversión-Financiación'!$C$4:$AP$20,$A11,'Inversión-Financiación'!O$4:O$20)</f>
        <v>0</v>
      </c>
      <c r="L11" s="88">
        <f ca="1">SUMIF('Inversión-Financiación'!$C$4:$AP$20,$A11,'Inversión-Financiación'!P$4:P$20)</f>
        <v>0</v>
      </c>
      <c r="M11" s="88">
        <f ca="1">SUMIF('Inversión-Financiación'!$C$4:$AP$20,$A11,'Inversión-Financiación'!Q$4:Q$20)</f>
        <v>0</v>
      </c>
      <c r="N11" s="88">
        <f ca="1">SUMIF('Inversión-Financiación'!$C$4:$AP$20,$A11,'Inversión-Financiación'!R$4:R$20)</f>
        <v>0</v>
      </c>
      <c r="O11" s="89">
        <f ca="1">SUMIF('Inversión-Financiación'!$C$4:$AP$20,$A11,'Inversión-Financiación'!S$4:S$20)</f>
        <v>0</v>
      </c>
      <c r="P11" s="89">
        <f ca="1">SUMIF('Inversión-Financiación'!$C$4:$AP$20,$A11,'Inversión-Financiación'!T$4:T$20)</f>
        <v>0</v>
      </c>
      <c r="Q11" s="89">
        <f ca="1">SUMIF('Inversión-Financiación'!$C$4:$AP$20,$A11,'Inversión-Financiación'!U$4:U$20)</f>
        <v>0</v>
      </c>
      <c r="R11" s="89">
        <f ca="1">SUMIF('Inversión-Financiación'!$C$4:$AP$20,$A11,'Inversión-Financiación'!V$4:V$20)</f>
        <v>0</v>
      </c>
      <c r="S11" s="89">
        <f ca="1">SUMIF('Inversión-Financiación'!$C$4:$AP$20,$A11,'Inversión-Financiación'!W$4:W$20)</f>
        <v>0</v>
      </c>
      <c r="T11" s="89">
        <f ca="1">SUMIF('Inversión-Financiación'!$C$4:$AP$20,$A11,'Inversión-Financiación'!X$4:X$20)</f>
        <v>0</v>
      </c>
      <c r="U11" s="89">
        <f ca="1">SUMIF('Inversión-Financiación'!$C$4:$AP$20,$A11,'Inversión-Financiación'!Y$4:Y$20)</f>
        <v>0</v>
      </c>
      <c r="V11" s="89">
        <f ca="1">SUMIF('Inversión-Financiación'!$C$4:$AP$20,$A11,'Inversión-Financiación'!Z$4:Z$20)</f>
        <v>0</v>
      </c>
      <c r="W11" s="89">
        <f ca="1">SUMIF('Inversión-Financiación'!$C$4:$AP$20,$A11,'Inversión-Financiación'!AA$4:AA$20)</f>
        <v>0</v>
      </c>
      <c r="X11" s="89">
        <f ca="1">SUMIF('Inversión-Financiación'!$C$4:$AP$20,$A11,'Inversión-Financiación'!AB$4:AB$20)</f>
        <v>0</v>
      </c>
      <c r="Y11" s="89">
        <f ca="1">SUMIF('Inversión-Financiación'!$C$4:$AP$20,$A11,'Inversión-Financiación'!AC$4:AC$20)</f>
        <v>0</v>
      </c>
      <c r="Z11" s="89">
        <f ca="1">SUMIF('Inversión-Financiación'!$C$4:$AP$20,$A11,'Inversión-Financiación'!AD$4:AD$20)</f>
        <v>0</v>
      </c>
      <c r="AA11" s="88">
        <f ca="1">SUMIF('Inversión-Financiación'!$C$4:$AP$20,$A11,'Inversión-Financiación'!AE$4:AE$20)</f>
        <v>0</v>
      </c>
      <c r="AB11" s="88">
        <f ca="1">SUMIF('Inversión-Financiación'!$C$4:$AP$20,$A11,'Inversión-Financiación'!AF$4:AF$20)</f>
        <v>0</v>
      </c>
      <c r="AC11" s="88">
        <f ca="1">SUMIF('Inversión-Financiación'!$C$4:$AP$20,$A11,'Inversión-Financiación'!AG$4:AG$20)</f>
        <v>0</v>
      </c>
      <c r="AD11" s="88">
        <f ca="1">SUMIF('Inversión-Financiación'!$C$4:$AP$20,$A11,'Inversión-Financiación'!AH$4:AH$20)</f>
        <v>0</v>
      </c>
      <c r="AE11" s="88">
        <f ca="1">SUMIF('Inversión-Financiación'!$C$4:$AP$20,$A11,'Inversión-Financiación'!AI$4:AI$20)</f>
        <v>0</v>
      </c>
      <c r="AF11" s="88">
        <f ca="1">SUMIF('Inversión-Financiación'!$C$4:$AP$20,$A11,'Inversión-Financiación'!AJ$4:AJ$20)</f>
        <v>0</v>
      </c>
      <c r="AG11" s="88">
        <f ca="1">SUMIF('Inversión-Financiación'!$C$4:$AP$20,$A11,'Inversión-Financiación'!AK$4:AK$20)</f>
        <v>0</v>
      </c>
      <c r="AH11" s="88">
        <f ca="1">SUMIF('Inversión-Financiación'!$C$4:$AP$20,$A11,'Inversión-Financiación'!AL$4:AL$20)</f>
        <v>0</v>
      </c>
      <c r="AI11" s="88">
        <f ca="1">SUMIF('Inversión-Financiación'!$C$4:$AP$20,$A11,'Inversión-Financiación'!AM$4:AM$20)</f>
        <v>0</v>
      </c>
      <c r="AJ11" s="88">
        <f ca="1">SUMIF('Inversión-Financiación'!$C$4:$AP$20,$A11,'Inversión-Financiación'!AN$4:AN$20)</f>
        <v>0</v>
      </c>
      <c r="AK11" s="88">
        <f ca="1">SUMIF('Inversión-Financiación'!$C$4:$AP$20,$A11,'Inversión-Financiación'!AO$4:AO$20)</f>
        <v>0</v>
      </c>
      <c r="AL11" s="88">
        <f ca="1">SUMIF('Inversión-Financiación'!$C$4:$AP$20,$A11,'Inversión-Financiación'!AP$4:AP$20)</f>
        <v>0</v>
      </c>
    </row>
    <row r="12" spans="1:38" outlineLevel="1">
      <c r="A12" t="s">
        <v>31</v>
      </c>
      <c r="C12" s="88">
        <f ca="1">SUMIF('Inversión-Financiación'!$C$4:$AP$20,$A12,'Inversión-Financiación'!G$4:G$20)</f>
        <v>0</v>
      </c>
      <c r="D12" s="88">
        <f ca="1">SUMIF('Inversión-Financiación'!$C$4:$AP$20,$A12,'Inversión-Financiación'!H$4:H$20)</f>
        <v>0</v>
      </c>
      <c r="E12" s="88">
        <f ca="1">SUMIF('Inversión-Financiación'!$C$4:$AP$20,$A12,'Inversión-Financiación'!I$4:I$20)</f>
        <v>0</v>
      </c>
      <c r="F12" s="88">
        <f ca="1">SUMIF('Inversión-Financiación'!$C$4:$AP$20,$A12,'Inversión-Financiación'!J$4:J$20)</f>
        <v>0</v>
      </c>
      <c r="G12" s="88">
        <f ca="1">SUMIF('Inversión-Financiación'!$C$4:$AP$20,$A12,'Inversión-Financiación'!K$4:K$20)</f>
        <v>0</v>
      </c>
      <c r="H12" s="88">
        <f ca="1">SUMIF('Inversión-Financiación'!$C$4:$AP$20,$A12,'Inversión-Financiación'!L$4:L$20)</f>
        <v>0</v>
      </c>
      <c r="I12" s="88">
        <f ca="1">SUMIF('Inversión-Financiación'!$C$4:$AP$20,$A12,'Inversión-Financiación'!M$4:M$20)</f>
        <v>0</v>
      </c>
      <c r="J12" s="88">
        <f ca="1">SUMIF('Inversión-Financiación'!$C$4:$AP$20,$A12,'Inversión-Financiación'!N$4:N$20)</f>
        <v>0</v>
      </c>
      <c r="K12" s="88">
        <f ca="1">SUMIF('Inversión-Financiación'!$C$4:$AP$20,$A12,'Inversión-Financiación'!O$4:O$20)</f>
        <v>0</v>
      </c>
      <c r="L12" s="88">
        <f ca="1">SUMIF('Inversión-Financiación'!$C$4:$AP$20,$A12,'Inversión-Financiación'!P$4:P$20)</f>
        <v>0</v>
      </c>
      <c r="M12" s="88">
        <f ca="1">SUMIF('Inversión-Financiación'!$C$4:$AP$20,$A12,'Inversión-Financiación'!Q$4:Q$20)</f>
        <v>0</v>
      </c>
      <c r="N12" s="88">
        <f ca="1">SUMIF('Inversión-Financiación'!$C$4:$AP$20,$A12,'Inversión-Financiación'!R$4:R$20)</f>
        <v>0</v>
      </c>
      <c r="O12" s="89">
        <f ca="1">SUMIF('Inversión-Financiación'!$C$4:$AP$20,$A12,'Inversión-Financiación'!S$4:S$20)</f>
        <v>0</v>
      </c>
      <c r="P12" s="89">
        <f ca="1">SUMIF('Inversión-Financiación'!$C$4:$AP$20,$A12,'Inversión-Financiación'!T$4:T$20)</f>
        <v>0</v>
      </c>
      <c r="Q12" s="89">
        <f ca="1">SUMIF('Inversión-Financiación'!$C$4:$AP$20,$A12,'Inversión-Financiación'!U$4:U$20)</f>
        <v>0</v>
      </c>
      <c r="R12" s="89">
        <f ca="1">SUMIF('Inversión-Financiación'!$C$4:$AP$20,$A12,'Inversión-Financiación'!V$4:V$20)</f>
        <v>0</v>
      </c>
      <c r="S12" s="89">
        <f ca="1">SUMIF('Inversión-Financiación'!$C$4:$AP$20,$A12,'Inversión-Financiación'!W$4:W$20)</f>
        <v>0</v>
      </c>
      <c r="T12" s="89">
        <f ca="1">SUMIF('Inversión-Financiación'!$C$4:$AP$20,$A12,'Inversión-Financiación'!X$4:X$20)</f>
        <v>0</v>
      </c>
      <c r="U12" s="89">
        <f ca="1">SUMIF('Inversión-Financiación'!$C$4:$AP$20,$A12,'Inversión-Financiación'!Y$4:Y$20)</f>
        <v>0</v>
      </c>
      <c r="V12" s="89">
        <f ca="1">SUMIF('Inversión-Financiación'!$C$4:$AP$20,$A12,'Inversión-Financiación'!Z$4:Z$20)</f>
        <v>0</v>
      </c>
      <c r="W12" s="89">
        <f ca="1">SUMIF('Inversión-Financiación'!$C$4:$AP$20,$A12,'Inversión-Financiación'!AA$4:AA$20)</f>
        <v>0</v>
      </c>
      <c r="X12" s="89">
        <f ca="1">SUMIF('Inversión-Financiación'!$C$4:$AP$20,$A12,'Inversión-Financiación'!AB$4:AB$20)</f>
        <v>0</v>
      </c>
      <c r="Y12" s="89">
        <f ca="1">SUMIF('Inversión-Financiación'!$C$4:$AP$20,$A12,'Inversión-Financiación'!AC$4:AC$20)</f>
        <v>0</v>
      </c>
      <c r="Z12" s="89">
        <f ca="1">SUMIF('Inversión-Financiación'!$C$4:$AP$20,$A12,'Inversión-Financiación'!AD$4:AD$20)</f>
        <v>0</v>
      </c>
      <c r="AA12" s="88">
        <f ca="1">SUMIF('Inversión-Financiación'!$C$4:$AP$20,$A12,'Inversión-Financiación'!AE$4:AE$20)</f>
        <v>0</v>
      </c>
      <c r="AB12" s="88">
        <f ca="1">SUMIF('Inversión-Financiación'!$C$4:$AP$20,$A12,'Inversión-Financiación'!AF$4:AF$20)</f>
        <v>0</v>
      </c>
      <c r="AC12" s="88">
        <f ca="1">SUMIF('Inversión-Financiación'!$C$4:$AP$20,$A12,'Inversión-Financiación'!AG$4:AG$20)</f>
        <v>0</v>
      </c>
      <c r="AD12" s="88">
        <f ca="1">SUMIF('Inversión-Financiación'!$C$4:$AP$20,$A12,'Inversión-Financiación'!AH$4:AH$20)</f>
        <v>0</v>
      </c>
      <c r="AE12" s="88">
        <f ca="1">SUMIF('Inversión-Financiación'!$C$4:$AP$20,$A12,'Inversión-Financiación'!AI$4:AI$20)</f>
        <v>0</v>
      </c>
      <c r="AF12" s="88">
        <f ca="1">SUMIF('Inversión-Financiación'!$C$4:$AP$20,$A12,'Inversión-Financiación'!AJ$4:AJ$20)</f>
        <v>0</v>
      </c>
      <c r="AG12" s="88">
        <f ca="1">SUMIF('Inversión-Financiación'!$C$4:$AP$20,$A12,'Inversión-Financiación'!AK$4:AK$20)</f>
        <v>0</v>
      </c>
      <c r="AH12" s="88">
        <f ca="1">SUMIF('Inversión-Financiación'!$C$4:$AP$20,$A12,'Inversión-Financiación'!AL$4:AL$20)</f>
        <v>0</v>
      </c>
      <c r="AI12" s="88">
        <f ca="1">SUMIF('Inversión-Financiación'!$C$4:$AP$20,$A12,'Inversión-Financiación'!AM$4:AM$20)</f>
        <v>0</v>
      </c>
      <c r="AJ12" s="88">
        <f ca="1">SUMIF('Inversión-Financiación'!$C$4:$AP$20,$A12,'Inversión-Financiación'!AN$4:AN$20)</f>
        <v>0</v>
      </c>
      <c r="AK12" s="88">
        <f ca="1">SUMIF('Inversión-Financiación'!$C$4:$AP$20,$A12,'Inversión-Financiación'!AO$4:AO$20)</f>
        <v>0</v>
      </c>
      <c r="AL12" s="88">
        <f ca="1">SUMIF('Inversión-Financiación'!$C$4:$AP$20,$A12,'Inversión-Financiación'!AP$4:AP$20)</f>
        <v>0</v>
      </c>
    </row>
    <row r="13" spans="1:38" outlineLevel="1">
      <c r="A13" t="s">
        <v>4</v>
      </c>
      <c r="B13" t="s">
        <v>46</v>
      </c>
      <c r="C13" s="88">
        <f ca="1">SUMIF('Inversión-Financiación'!$C$4:$AP$20,$A13,'Inversión-Financiación'!G$4:G$20)</f>
        <v>0</v>
      </c>
      <c r="D13" s="88">
        <f ca="1">SUMIF('Inversión-Financiación'!$C$4:$AP$20,$A13,'Inversión-Financiación'!H$4:H$20)</f>
        <v>0</v>
      </c>
      <c r="E13" s="88">
        <f ca="1">SUMIF('Inversión-Financiación'!$C$4:$AP$20,$A13,'Inversión-Financiación'!I$4:I$20)</f>
        <v>0</v>
      </c>
      <c r="F13" s="88">
        <f ca="1">SUMIF('Inversión-Financiación'!$C$4:$AP$20,$A13,'Inversión-Financiación'!J$4:J$20)</f>
        <v>0</v>
      </c>
      <c r="G13" s="88">
        <f ca="1">SUMIF('Inversión-Financiación'!$C$4:$AP$20,$A13,'Inversión-Financiación'!K$4:K$20)</f>
        <v>0</v>
      </c>
      <c r="H13" s="88">
        <f ca="1">SUMIF('Inversión-Financiación'!$C$4:$AP$20,$A13,'Inversión-Financiación'!L$4:L$20)</f>
        <v>0</v>
      </c>
      <c r="I13" s="88">
        <f ca="1">SUMIF('Inversión-Financiación'!$C$4:$AP$20,$A13,'Inversión-Financiación'!M$4:M$20)</f>
        <v>0</v>
      </c>
      <c r="J13" s="88">
        <f ca="1">SUMIF('Inversión-Financiación'!$C$4:$AP$20,$A13,'Inversión-Financiación'!N$4:N$20)</f>
        <v>0</v>
      </c>
      <c r="K13" s="88">
        <f ca="1">SUMIF('Inversión-Financiación'!$C$4:$AP$20,$A13,'Inversión-Financiación'!O$4:O$20)</f>
        <v>0</v>
      </c>
      <c r="L13" s="88">
        <f ca="1">SUMIF('Inversión-Financiación'!$C$4:$AP$20,$A13,'Inversión-Financiación'!P$4:P$20)</f>
        <v>0</v>
      </c>
      <c r="M13" s="88">
        <f ca="1">SUMIF('Inversión-Financiación'!$C$4:$AP$20,$A13,'Inversión-Financiación'!Q$4:Q$20)</f>
        <v>0</v>
      </c>
      <c r="N13" s="88">
        <f ca="1">SUMIF('Inversión-Financiación'!$C$4:$AP$20,$A13,'Inversión-Financiación'!R$4:R$20)</f>
        <v>0</v>
      </c>
      <c r="O13" s="89">
        <f ca="1">SUMIF('Inversión-Financiación'!$C$4:$AP$20,$A13,'Inversión-Financiación'!S$4:S$20)</f>
        <v>0</v>
      </c>
      <c r="P13" s="89">
        <f ca="1">SUMIF('Inversión-Financiación'!$C$4:$AP$20,$A13,'Inversión-Financiación'!T$4:T$20)</f>
        <v>0</v>
      </c>
      <c r="Q13" s="89">
        <f ca="1">SUMIF('Inversión-Financiación'!$C$4:$AP$20,$A13,'Inversión-Financiación'!U$4:U$20)</f>
        <v>0</v>
      </c>
      <c r="R13" s="89">
        <f ca="1">SUMIF('Inversión-Financiación'!$C$4:$AP$20,$A13,'Inversión-Financiación'!V$4:V$20)</f>
        <v>0</v>
      </c>
      <c r="S13" s="89">
        <f ca="1">SUMIF('Inversión-Financiación'!$C$4:$AP$20,$A13,'Inversión-Financiación'!W$4:W$20)</f>
        <v>0</v>
      </c>
      <c r="T13" s="89">
        <f ca="1">SUMIF('Inversión-Financiación'!$C$4:$AP$20,$A13,'Inversión-Financiación'!X$4:X$20)</f>
        <v>0</v>
      </c>
      <c r="U13" s="89">
        <f ca="1">SUMIF('Inversión-Financiación'!$C$4:$AP$20,$A13,'Inversión-Financiación'!Y$4:Y$20)</f>
        <v>0</v>
      </c>
      <c r="V13" s="89">
        <f ca="1">SUMIF('Inversión-Financiación'!$C$4:$AP$20,$A13,'Inversión-Financiación'!Z$4:Z$20)</f>
        <v>0</v>
      </c>
      <c r="W13" s="89">
        <f ca="1">SUMIF('Inversión-Financiación'!$C$4:$AP$20,$A13,'Inversión-Financiación'!AA$4:AA$20)</f>
        <v>0</v>
      </c>
      <c r="X13" s="89">
        <f ca="1">SUMIF('Inversión-Financiación'!$C$4:$AP$20,$A13,'Inversión-Financiación'!AB$4:AB$20)</f>
        <v>0</v>
      </c>
      <c r="Y13" s="89">
        <f ca="1">SUMIF('Inversión-Financiación'!$C$4:$AP$20,$A13,'Inversión-Financiación'!AC$4:AC$20)</f>
        <v>0</v>
      </c>
      <c r="Z13" s="89">
        <f ca="1">SUMIF('Inversión-Financiación'!$C$4:$AP$20,$A13,'Inversión-Financiación'!AD$4:AD$20)</f>
        <v>0</v>
      </c>
      <c r="AA13" s="88">
        <f ca="1">SUMIF('Inversión-Financiación'!$C$4:$AP$20,$A13,'Inversión-Financiación'!AE$4:AE$20)</f>
        <v>0</v>
      </c>
      <c r="AB13" s="88">
        <f ca="1">SUMIF('Inversión-Financiación'!$C$4:$AP$20,$A13,'Inversión-Financiación'!AF$4:AF$20)</f>
        <v>0</v>
      </c>
      <c r="AC13" s="88">
        <f ca="1">SUMIF('Inversión-Financiación'!$C$4:$AP$20,$A13,'Inversión-Financiación'!AG$4:AG$20)</f>
        <v>0</v>
      </c>
      <c r="AD13" s="88">
        <f ca="1">SUMIF('Inversión-Financiación'!$C$4:$AP$20,$A13,'Inversión-Financiación'!AH$4:AH$20)</f>
        <v>0</v>
      </c>
      <c r="AE13" s="88">
        <f ca="1">SUMIF('Inversión-Financiación'!$C$4:$AP$20,$A13,'Inversión-Financiación'!AI$4:AI$20)</f>
        <v>0</v>
      </c>
      <c r="AF13" s="88">
        <f ca="1">SUMIF('Inversión-Financiación'!$C$4:$AP$20,$A13,'Inversión-Financiación'!AJ$4:AJ$20)</f>
        <v>0</v>
      </c>
      <c r="AG13" s="88">
        <f ca="1">SUMIF('Inversión-Financiación'!$C$4:$AP$20,$A13,'Inversión-Financiación'!AK$4:AK$20)</f>
        <v>0</v>
      </c>
      <c r="AH13" s="88">
        <f ca="1">SUMIF('Inversión-Financiación'!$C$4:$AP$20,$A13,'Inversión-Financiación'!AL$4:AL$20)</f>
        <v>0</v>
      </c>
      <c r="AI13" s="88">
        <f ca="1">SUMIF('Inversión-Financiación'!$C$4:$AP$20,$A13,'Inversión-Financiación'!AM$4:AM$20)</f>
        <v>0</v>
      </c>
      <c r="AJ13" s="88">
        <f ca="1">SUMIF('Inversión-Financiación'!$C$4:$AP$20,$A13,'Inversión-Financiación'!AN$4:AN$20)</f>
        <v>0</v>
      </c>
      <c r="AK13" s="88">
        <f ca="1">SUMIF('Inversión-Financiación'!$C$4:$AP$20,$A13,'Inversión-Financiación'!AO$4:AO$20)</f>
        <v>0</v>
      </c>
      <c r="AL13" s="88">
        <f ca="1">SUMIF('Inversión-Financiación'!$C$4:$AP$20,$A13,'Inversión-Financiación'!AP$4:AP$20)</f>
        <v>0</v>
      </c>
    </row>
    <row r="14" spans="1:38" outlineLevel="1">
      <c r="A14" t="s">
        <v>32</v>
      </c>
      <c r="C14" s="88">
        <f ca="1">SUMIF('Inversión-Financiación'!$C$4:$AP$20,$A14,'Inversión-Financiación'!G$4:G$20)</f>
        <v>0</v>
      </c>
      <c r="D14" s="88">
        <f ca="1">SUMIF('Inversión-Financiación'!$C$4:$AP$20,$A14,'Inversión-Financiación'!H$4:H$20)</f>
        <v>0</v>
      </c>
      <c r="E14" s="88">
        <f ca="1">SUMIF('Inversión-Financiación'!$C$4:$AP$20,$A14,'Inversión-Financiación'!I$4:I$20)</f>
        <v>0</v>
      </c>
      <c r="F14" s="88">
        <f ca="1">SUMIF('Inversión-Financiación'!$C$4:$AP$20,$A14,'Inversión-Financiación'!J$4:J$20)</f>
        <v>0</v>
      </c>
      <c r="G14" s="88">
        <f ca="1">SUMIF('Inversión-Financiación'!$C$4:$AP$20,$A14,'Inversión-Financiación'!K$4:K$20)</f>
        <v>0</v>
      </c>
      <c r="H14" s="88">
        <f ca="1">SUMIF('Inversión-Financiación'!$C$4:$AP$20,$A14,'Inversión-Financiación'!L$4:L$20)</f>
        <v>0</v>
      </c>
      <c r="I14" s="88">
        <f ca="1">SUMIF('Inversión-Financiación'!$C$4:$AP$20,$A14,'Inversión-Financiación'!M$4:M$20)</f>
        <v>0</v>
      </c>
      <c r="J14" s="88">
        <f ca="1">SUMIF('Inversión-Financiación'!$C$4:$AP$20,$A14,'Inversión-Financiación'!N$4:N$20)</f>
        <v>0</v>
      </c>
      <c r="K14" s="88">
        <f ca="1">SUMIF('Inversión-Financiación'!$C$4:$AP$20,$A14,'Inversión-Financiación'!O$4:O$20)</f>
        <v>0</v>
      </c>
      <c r="L14" s="88">
        <f ca="1">SUMIF('Inversión-Financiación'!$C$4:$AP$20,$A14,'Inversión-Financiación'!P$4:P$20)</f>
        <v>0</v>
      </c>
      <c r="M14" s="88">
        <f ca="1">SUMIF('Inversión-Financiación'!$C$4:$AP$20,$A14,'Inversión-Financiación'!Q$4:Q$20)</f>
        <v>0</v>
      </c>
      <c r="N14" s="88">
        <f ca="1">SUMIF('Inversión-Financiación'!$C$4:$AP$20,$A14,'Inversión-Financiación'!R$4:R$20)</f>
        <v>0</v>
      </c>
      <c r="O14" s="89">
        <f ca="1">SUMIF('Inversión-Financiación'!$C$4:$AP$20,$A14,'Inversión-Financiación'!S$4:S$20)</f>
        <v>0</v>
      </c>
      <c r="P14" s="89">
        <f ca="1">SUMIF('Inversión-Financiación'!$C$4:$AP$20,$A14,'Inversión-Financiación'!T$4:T$20)</f>
        <v>0</v>
      </c>
      <c r="Q14" s="89">
        <f ca="1">SUMIF('Inversión-Financiación'!$C$4:$AP$20,$A14,'Inversión-Financiación'!U$4:U$20)</f>
        <v>0</v>
      </c>
      <c r="R14" s="89">
        <f ca="1">SUMIF('Inversión-Financiación'!$C$4:$AP$20,$A14,'Inversión-Financiación'!V$4:V$20)</f>
        <v>0</v>
      </c>
      <c r="S14" s="89">
        <f ca="1">SUMIF('Inversión-Financiación'!$C$4:$AP$20,$A14,'Inversión-Financiación'!W$4:W$20)</f>
        <v>0</v>
      </c>
      <c r="T14" s="89">
        <f ca="1">SUMIF('Inversión-Financiación'!$C$4:$AP$20,$A14,'Inversión-Financiación'!X$4:X$20)</f>
        <v>0</v>
      </c>
      <c r="U14" s="89">
        <f ca="1">SUMIF('Inversión-Financiación'!$C$4:$AP$20,$A14,'Inversión-Financiación'!Y$4:Y$20)</f>
        <v>0</v>
      </c>
      <c r="V14" s="89">
        <f ca="1">SUMIF('Inversión-Financiación'!$C$4:$AP$20,$A14,'Inversión-Financiación'!Z$4:Z$20)</f>
        <v>0</v>
      </c>
      <c r="W14" s="89">
        <f ca="1">SUMIF('Inversión-Financiación'!$C$4:$AP$20,$A14,'Inversión-Financiación'!AA$4:AA$20)</f>
        <v>0</v>
      </c>
      <c r="X14" s="89">
        <f ca="1">SUMIF('Inversión-Financiación'!$C$4:$AP$20,$A14,'Inversión-Financiación'!AB$4:AB$20)</f>
        <v>0</v>
      </c>
      <c r="Y14" s="89">
        <f ca="1">SUMIF('Inversión-Financiación'!$C$4:$AP$20,$A14,'Inversión-Financiación'!AC$4:AC$20)</f>
        <v>0</v>
      </c>
      <c r="Z14" s="89">
        <f ca="1">SUMIF('Inversión-Financiación'!$C$4:$AP$20,$A14,'Inversión-Financiación'!AD$4:AD$20)</f>
        <v>0</v>
      </c>
      <c r="AA14" s="88">
        <f ca="1">SUMIF('Inversión-Financiación'!$C$4:$AP$20,$A14,'Inversión-Financiación'!AE$4:AE$20)</f>
        <v>0</v>
      </c>
      <c r="AB14" s="88">
        <f ca="1">SUMIF('Inversión-Financiación'!$C$4:$AP$20,$A14,'Inversión-Financiación'!AF$4:AF$20)</f>
        <v>0</v>
      </c>
      <c r="AC14" s="88">
        <f ca="1">SUMIF('Inversión-Financiación'!$C$4:$AP$20,$A14,'Inversión-Financiación'!AG$4:AG$20)</f>
        <v>0</v>
      </c>
      <c r="AD14" s="88">
        <f ca="1">SUMIF('Inversión-Financiación'!$C$4:$AP$20,$A14,'Inversión-Financiación'!AH$4:AH$20)</f>
        <v>0</v>
      </c>
      <c r="AE14" s="88">
        <f ca="1">SUMIF('Inversión-Financiación'!$C$4:$AP$20,$A14,'Inversión-Financiación'!AI$4:AI$20)</f>
        <v>0</v>
      </c>
      <c r="AF14" s="88">
        <f ca="1">SUMIF('Inversión-Financiación'!$C$4:$AP$20,$A14,'Inversión-Financiación'!AJ$4:AJ$20)</f>
        <v>0</v>
      </c>
      <c r="AG14" s="88">
        <f ca="1">SUMIF('Inversión-Financiación'!$C$4:$AP$20,$A14,'Inversión-Financiación'!AK$4:AK$20)</f>
        <v>0</v>
      </c>
      <c r="AH14" s="88">
        <f ca="1">SUMIF('Inversión-Financiación'!$C$4:$AP$20,$A14,'Inversión-Financiación'!AL$4:AL$20)</f>
        <v>0</v>
      </c>
      <c r="AI14" s="88">
        <f ca="1">SUMIF('Inversión-Financiación'!$C$4:$AP$20,$A14,'Inversión-Financiación'!AM$4:AM$20)</f>
        <v>0</v>
      </c>
      <c r="AJ14" s="88">
        <f ca="1">SUMIF('Inversión-Financiación'!$C$4:$AP$20,$A14,'Inversión-Financiación'!AN$4:AN$20)</f>
        <v>0</v>
      </c>
      <c r="AK14" s="88">
        <f ca="1">SUMIF('Inversión-Financiación'!$C$4:$AP$20,$A14,'Inversión-Financiación'!AO$4:AO$20)</f>
        <v>0</v>
      </c>
      <c r="AL14" s="88">
        <f ca="1">SUMIF('Inversión-Financiación'!$C$4:$AP$20,$A14,'Inversión-Financiación'!AP$4:AP$20)</f>
        <v>0</v>
      </c>
    </row>
    <row r="15" spans="1:38" outlineLevel="1">
      <c r="A15" t="s">
        <v>33</v>
      </c>
      <c r="C15" s="88">
        <f ca="1">SUMIF('Inversión-Financiación'!$C$4:$AP$20,$A15,'Inversión-Financiación'!G$4:G$20)+Seguimiento!F21</f>
        <v>0</v>
      </c>
      <c r="D15" s="88">
        <f ca="1">SUMIF('Inversión-Financiación'!$C$4:$AP$20,$A15,'Inversión-Financiación'!H$4:H$20)</f>
        <v>0</v>
      </c>
      <c r="E15" s="88">
        <f ca="1">SUMIF('Inversión-Financiación'!$C$4:$AP$20,$A15,'Inversión-Financiación'!I$4:I$20)</f>
        <v>0</v>
      </c>
      <c r="F15" s="88">
        <f ca="1">SUMIF('Inversión-Financiación'!$C$4:$AP$20,$A15,'Inversión-Financiación'!J$4:J$20)</f>
        <v>0</v>
      </c>
      <c r="G15" s="88">
        <f ca="1">SUMIF('Inversión-Financiación'!$C$4:$AP$20,$A15,'Inversión-Financiación'!K$4:K$20)</f>
        <v>0</v>
      </c>
      <c r="H15" s="88">
        <f ca="1">SUMIF('Inversión-Financiación'!$C$4:$AP$20,$A15,'Inversión-Financiación'!L$4:L$20)</f>
        <v>0</v>
      </c>
      <c r="I15" s="88">
        <f ca="1">SUMIF('Inversión-Financiación'!$C$4:$AP$20,$A15,'Inversión-Financiación'!M$4:M$20)</f>
        <v>0</v>
      </c>
      <c r="J15" s="88">
        <f ca="1">SUMIF('Inversión-Financiación'!$C$4:$AP$20,$A15,'Inversión-Financiación'!N$4:N$20)</f>
        <v>0</v>
      </c>
      <c r="K15" s="88">
        <f ca="1">SUMIF('Inversión-Financiación'!$C$4:$AP$20,$A15,'Inversión-Financiación'!O$4:O$20)</f>
        <v>0</v>
      </c>
      <c r="L15" s="88">
        <f ca="1">SUMIF('Inversión-Financiación'!$C$4:$AP$20,$A15,'Inversión-Financiación'!P$4:P$20)</f>
        <v>0</v>
      </c>
      <c r="M15" s="88">
        <f ca="1">SUMIF('Inversión-Financiación'!$C$4:$AP$20,$A15,'Inversión-Financiación'!Q$4:Q$20)</f>
        <v>0</v>
      </c>
      <c r="N15" s="88">
        <f ca="1">SUMIF('Inversión-Financiación'!$C$4:$AP$20,$A15,'Inversión-Financiación'!R$4:R$20)</f>
        <v>0</v>
      </c>
      <c r="O15" s="89">
        <f ca="1">SUMIF('Inversión-Financiación'!$C$4:$AP$20,$A15,'Inversión-Financiación'!S$4:S$20)</f>
        <v>0</v>
      </c>
      <c r="P15" s="89">
        <f ca="1">SUMIF('Inversión-Financiación'!$C$4:$AP$20,$A15,'Inversión-Financiación'!T$4:T$20)</f>
        <v>0</v>
      </c>
      <c r="Q15" s="89">
        <f ca="1">SUMIF('Inversión-Financiación'!$C$4:$AP$20,$A15,'Inversión-Financiación'!U$4:U$20)</f>
        <v>0</v>
      </c>
      <c r="R15" s="89">
        <f ca="1">SUMIF('Inversión-Financiación'!$C$4:$AP$20,$A15,'Inversión-Financiación'!V$4:V$20)</f>
        <v>0</v>
      </c>
      <c r="S15" s="89">
        <f ca="1">SUMIF('Inversión-Financiación'!$C$4:$AP$20,$A15,'Inversión-Financiación'!W$4:W$20)</f>
        <v>0</v>
      </c>
      <c r="T15" s="89">
        <f ca="1">SUMIF('Inversión-Financiación'!$C$4:$AP$20,$A15,'Inversión-Financiación'!X$4:X$20)</f>
        <v>0</v>
      </c>
      <c r="U15" s="89">
        <f ca="1">SUMIF('Inversión-Financiación'!$C$4:$AP$20,$A15,'Inversión-Financiación'!Y$4:Y$20)</f>
        <v>0</v>
      </c>
      <c r="V15" s="89">
        <f ca="1">SUMIF('Inversión-Financiación'!$C$4:$AP$20,$A15,'Inversión-Financiación'!Z$4:Z$20)</f>
        <v>0</v>
      </c>
      <c r="W15" s="89">
        <f ca="1">SUMIF('Inversión-Financiación'!$C$4:$AP$20,$A15,'Inversión-Financiación'!AA$4:AA$20)</f>
        <v>0</v>
      </c>
      <c r="X15" s="89">
        <f ca="1">SUMIF('Inversión-Financiación'!$C$4:$AP$20,$A15,'Inversión-Financiación'!AB$4:AB$20)</f>
        <v>0</v>
      </c>
      <c r="Y15" s="89">
        <f ca="1">SUMIF('Inversión-Financiación'!$C$4:$AP$20,$A15,'Inversión-Financiación'!AC$4:AC$20)</f>
        <v>0</v>
      </c>
      <c r="Z15" s="89">
        <f ca="1">SUMIF('Inversión-Financiación'!$C$4:$AP$20,$A15,'Inversión-Financiación'!AD$4:AD$20)</f>
        <v>0</v>
      </c>
      <c r="AA15" s="88">
        <f ca="1">SUMIF('Inversión-Financiación'!$C$4:$AP$20,$A15,'Inversión-Financiación'!AE$4:AE$20)</f>
        <v>0</v>
      </c>
      <c r="AB15" s="88">
        <f ca="1">SUMIF('Inversión-Financiación'!$C$4:$AP$20,$A15,'Inversión-Financiación'!AF$4:AF$20)</f>
        <v>0</v>
      </c>
      <c r="AC15" s="88">
        <f ca="1">SUMIF('Inversión-Financiación'!$C$4:$AP$20,$A15,'Inversión-Financiación'!AG$4:AG$20)</f>
        <v>0</v>
      </c>
      <c r="AD15" s="88">
        <f ca="1">SUMIF('Inversión-Financiación'!$C$4:$AP$20,$A15,'Inversión-Financiación'!AH$4:AH$20)</f>
        <v>0</v>
      </c>
      <c r="AE15" s="88">
        <f ca="1">SUMIF('Inversión-Financiación'!$C$4:$AP$20,$A15,'Inversión-Financiación'!AI$4:AI$20)</f>
        <v>0</v>
      </c>
      <c r="AF15" s="88">
        <f ca="1">SUMIF('Inversión-Financiación'!$C$4:$AP$20,$A15,'Inversión-Financiación'!AJ$4:AJ$20)</f>
        <v>0</v>
      </c>
      <c r="AG15" s="88">
        <f ca="1">SUMIF('Inversión-Financiación'!$C$4:$AP$20,$A15,'Inversión-Financiación'!AK$4:AK$20)</f>
        <v>0</v>
      </c>
      <c r="AH15" s="88">
        <f ca="1">SUMIF('Inversión-Financiación'!$C$4:$AP$20,$A15,'Inversión-Financiación'!AL$4:AL$20)</f>
        <v>0</v>
      </c>
      <c r="AI15" s="88">
        <f ca="1">SUMIF('Inversión-Financiación'!$C$4:$AP$20,$A15,'Inversión-Financiación'!AM$4:AM$20)</f>
        <v>0</v>
      </c>
      <c r="AJ15" s="88">
        <f ca="1">SUMIF('Inversión-Financiación'!$C$4:$AP$20,$A15,'Inversión-Financiación'!AN$4:AN$20)</f>
        <v>0</v>
      </c>
      <c r="AK15" s="88">
        <f ca="1">SUMIF('Inversión-Financiación'!$C$4:$AP$20,$A15,'Inversión-Financiación'!AO$4:AO$20)</f>
        <v>0</v>
      </c>
      <c r="AL15" s="88">
        <f ca="1">SUMIF('Inversión-Financiación'!$C$4:$AP$20,$A15,'Inversión-Financiación'!AP$4:AP$20)</f>
        <v>0</v>
      </c>
    </row>
    <row r="16" spans="1:38" outlineLevel="1">
      <c r="A16" t="s">
        <v>379</v>
      </c>
      <c r="C16" s="88">
        <f ca="1">SUMIF('Inversión-Financiación'!$C$4:$AP$20,$A16,'Inversión-Financiación'!G$4:G$20)+Seguimiento!F19</f>
        <v>0</v>
      </c>
      <c r="D16" s="88">
        <f ca="1">SUMIF('Inversión-Financiación'!$C$4:$AP$20,$A16,'Inversión-Financiación'!H$4:H$20)</f>
        <v>0</v>
      </c>
      <c r="E16" s="88">
        <f ca="1">SUMIF('Inversión-Financiación'!$C$4:$AP$20,$A16,'Inversión-Financiación'!I$4:I$20)</f>
        <v>0</v>
      </c>
      <c r="F16" s="88">
        <f ca="1">SUMIF('Inversión-Financiación'!$C$4:$AP$20,$A16,'Inversión-Financiación'!J$4:J$20)</f>
        <v>0</v>
      </c>
      <c r="G16" s="88">
        <f ca="1">SUMIF('Inversión-Financiación'!$C$4:$AP$20,$A16,'Inversión-Financiación'!K$4:K$20)</f>
        <v>0</v>
      </c>
      <c r="H16" s="88">
        <f ca="1">SUMIF('Inversión-Financiación'!$C$4:$AP$20,$A16,'Inversión-Financiación'!L$4:L$20)</f>
        <v>0</v>
      </c>
      <c r="I16" s="88">
        <f ca="1">SUMIF('Inversión-Financiación'!$C$4:$AP$20,$A16,'Inversión-Financiación'!M$4:M$20)</f>
        <v>0</v>
      </c>
      <c r="J16" s="88">
        <f ca="1">SUMIF('Inversión-Financiación'!$C$4:$AP$20,$A16,'Inversión-Financiación'!N$4:N$20)</f>
        <v>0</v>
      </c>
      <c r="K16" s="88">
        <f ca="1">SUMIF('Inversión-Financiación'!$C$4:$AP$20,$A16,'Inversión-Financiación'!O$4:O$20)</f>
        <v>0</v>
      </c>
      <c r="L16" s="88">
        <f ca="1">SUMIF('Inversión-Financiación'!$C$4:$AP$20,$A16,'Inversión-Financiación'!P$4:P$20)</f>
        <v>0</v>
      </c>
      <c r="M16" s="88">
        <f ca="1">SUMIF('Inversión-Financiación'!$C$4:$AP$20,$A16,'Inversión-Financiación'!Q$4:Q$20)</f>
        <v>0</v>
      </c>
      <c r="N16" s="88">
        <f ca="1">SUMIF('Inversión-Financiación'!$C$4:$AP$20,$A16,'Inversión-Financiación'!R$4:R$20)</f>
        <v>0</v>
      </c>
      <c r="O16" s="89">
        <f ca="1">SUMIF('Inversión-Financiación'!$C$4:$AP$20,$A16,'Inversión-Financiación'!S$4:S$20)</f>
        <v>0</v>
      </c>
      <c r="P16" s="89">
        <f ca="1">SUMIF('Inversión-Financiación'!$C$4:$AP$20,$A16,'Inversión-Financiación'!T$4:T$20)</f>
        <v>0</v>
      </c>
      <c r="Q16" s="89">
        <f ca="1">SUMIF('Inversión-Financiación'!$C$4:$AP$20,$A16,'Inversión-Financiación'!U$4:U$20)</f>
        <v>0</v>
      </c>
      <c r="R16" s="89">
        <f ca="1">SUMIF('Inversión-Financiación'!$C$4:$AP$20,$A16,'Inversión-Financiación'!V$4:V$20)</f>
        <v>0</v>
      </c>
      <c r="S16" s="89">
        <f ca="1">SUMIF('Inversión-Financiación'!$C$4:$AP$20,$A16,'Inversión-Financiación'!W$4:W$20)</f>
        <v>0</v>
      </c>
      <c r="T16" s="89">
        <f ca="1">SUMIF('Inversión-Financiación'!$C$4:$AP$20,$A16,'Inversión-Financiación'!X$4:X$20)</f>
        <v>0</v>
      </c>
      <c r="U16" s="89">
        <f ca="1">SUMIF('Inversión-Financiación'!$C$4:$AP$20,$A16,'Inversión-Financiación'!Y$4:Y$20)</f>
        <v>0</v>
      </c>
      <c r="V16" s="89">
        <f ca="1">SUMIF('Inversión-Financiación'!$C$4:$AP$20,$A16,'Inversión-Financiación'!Z$4:Z$20)</f>
        <v>0</v>
      </c>
      <c r="W16" s="89">
        <f ca="1">SUMIF('Inversión-Financiación'!$C$4:$AP$20,$A16,'Inversión-Financiación'!AA$4:AA$20)</f>
        <v>0</v>
      </c>
      <c r="X16" s="89">
        <f ca="1">SUMIF('Inversión-Financiación'!$C$4:$AP$20,$A16,'Inversión-Financiación'!AB$4:AB$20)</f>
        <v>0</v>
      </c>
      <c r="Y16" s="89">
        <f ca="1">SUMIF('Inversión-Financiación'!$C$4:$AP$20,$A16,'Inversión-Financiación'!AC$4:AC$20)</f>
        <v>0</v>
      </c>
      <c r="Z16" s="89">
        <f ca="1">SUMIF('Inversión-Financiación'!$C$4:$AP$20,$A16,'Inversión-Financiación'!AD$4:AD$20)</f>
        <v>0</v>
      </c>
      <c r="AA16" s="88">
        <f ca="1">SUMIF('Inversión-Financiación'!$C$4:$AP$20,$A16,'Inversión-Financiación'!AE$4:AE$20)</f>
        <v>0</v>
      </c>
      <c r="AB16" s="88">
        <f ca="1">SUMIF('Inversión-Financiación'!$C$4:$AP$20,$A16,'Inversión-Financiación'!AF$4:AF$20)</f>
        <v>0</v>
      </c>
      <c r="AC16" s="88">
        <f ca="1">SUMIF('Inversión-Financiación'!$C$4:$AP$20,$A16,'Inversión-Financiación'!AG$4:AG$20)</f>
        <v>0</v>
      </c>
      <c r="AD16" s="88">
        <f ca="1">SUMIF('Inversión-Financiación'!$C$4:$AP$20,$A16,'Inversión-Financiación'!AH$4:AH$20)</f>
        <v>0</v>
      </c>
      <c r="AE16" s="88">
        <f ca="1">SUMIF('Inversión-Financiación'!$C$4:$AP$20,$A16,'Inversión-Financiación'!AI$4:AI$20)</f>
        <v>0</v>
      </c>
      <c r="AF16" s="88">
        <f ca="1">SUMIF('Inversión-Financiación'!$C$4:$AP$20,$A16,'Inversión-Financiación'!AJ$4:AJ$20)</f>
        <v>0</v>
      </c>
      <c r="AG16" s="88">
        <f ca="1">SUMIF('Inversión-Financiación'!$C$4:$AP$20,$A16,'Inversión-Financiación'!AK$4:AK$20)</f>
        <v>0</v>
      </c>
      <c r="AH16" s="88">
        <f ca="1">SUMIF('Inversión-Financiación'!$C$4:$AP$20,$A16,'Inversión-Financiación'!AL$4:AL$20)</f>
        <v>0</v>
      </c>
      <c r="AI16" s="88">
        <f ca="1">SUMIF('Inversión-Financiación'!$C$4:$AP$20,$A16,'Inversión-Financiación'!AM$4:AM$20)</f>
        <v>0</v>
      </c>
      <c r="AJ16" s="88">
        <f ca="1">SUMIF('Inversión-Financiación'!$C$4:$AP$20,$A16,'Inversión-Financiación'!AN$4:AN$20)</f>
        <v>0</v>
      </c>
      <c r="AK16" s="88">
        <f ca="1">SUMIF('Inversión-Financiación'!$C$4:$AP$20,$A16,'Inversión-Financiación'!AO$4:AO$20)</f>
        <v>0</v>
      </c>
      <c r="AL16" s="88">
        <f ca="1">SUMIF('Inversión-Financiación'!$C$4:$AP$20,$A16,'Inversión-Financiación'!AP$4:AP$20)</f>
        <v>0</v>
      </c>
    </row>
    <row r="17" spans="1:38" ht="15.75">
      <c r="A17" s="94" t="s">
        <v>199</v>
      </c>
      <c r="B17" s="91"/>
      <c r="C17" s="92">
        <f t="shared" ref="C17:AL17" ca="1" si="0">SUM(C5:C15)</f>
        <v>0</v>
      </c>
      <c r="D17" s="92">
        <f t="shared" ca="1" si="0"/>
        <v>0</v>
      </c>
      <c r="E17" s="92">
        <f t="shared" ca="1" si="0"/>
        <v>0</v>
      </c>
      <c r="F17" s="92">
        <f t="shared" ca="1" si="0"/>
        <v>0</v>
      </c>
      <c r="G17" s="92">
        <f t="shared" ca="1" si="0"/>
        <v>0</v>
      </c>
      <c r="H17" s="92">
        <f t="shared" ca="1" si="0"/>
        <v>0</v>
      </c>
      <c r="I17" s="92">
        <f t="shared" ca="1" si="0"/>
        <v>0</v>
      </c>
      <c r="J17" s="92">
        <f t="shared" ca="1" si="0"/>
        <v>0</v>
      </c>
      <c r="K17" s="92">
        <f t="shared" ca="1" si="0"/>
        <v>0</v>
      </c>
      <c r="L17" s="92">
        <f t="shared" ca="1" si="0"/>
        <v>0</v>
      </c>
      <c r="M17" s="92">
        <f t="shared" ca="1" si="0"/>
        <v>0</v>
      </c>
      <c r="N17" s="92">
        <f t="shared" ca="1" si="0"/>
        <v>0</v>
      </c>
      <c r="O17" s="93">
        <f t="shared" ca="1" si="0"/>
        <v>0</v>
      </c>
      <c r="P17" s="93">
        <f t="shared" ca="1" si="0"/>
        <v>0</v>
      </c>
      <c r="Q17" s="93">
        <f t="shared" ca="1" si="0"/>
        <v>0</v>
      </c>
      <c r="R17" s="93">
        <f t="shared" ca="1" si="0"/>
        <v>0</v>
      </c>
      <c r="S17" s="93">
        <f t="shared" ca="1" si="0"/>
        <v>0</v>
      </c>
      <c r="T17" s="93">
        <f t="shared" ca="1" si="0"/>
        <v>0</v>
      </c>
      <c r="U17" s="93">
        <f t="shared" ca="1" si="0"/>
        <v>0</v>
      </c>
      <c r="V17" s="93">
        <f t="shared" ca="1" si="0"/>
        <v>0</v>
      </c>
      <c r="W17" s="93">
        <f t="shared" ca="1" si="0"/>
        <v>0</v>
      </c>
      <c r="X17" s="93">
        <f t="shared" ca="1" si="0"/>
        <v>0</v>
      </c>
      <c r="Y17" s="93">
        <f t="shared" ca="1" si="0"/>
        <v>0</v>
      </c>
      <c r="Z17" s="93">
        <f t="shared" ca="1" si="0"/>
        <v>0</v>
      </c>
      <c r="AA17" s="92">
        <f t="shared" ca="1" si="0"/>
        <v>0</v>
      </c>
      <c r="AB17" s="92">
        <f t="shared" ca="1" si="0"/>
        <v>0</v>
      </c>
      <c r="AC17" s="92">
        <f t="shared" ca="1" si="0"/>
        <v>0</v>
      </c>
      <c r="AD17" s="92">
        <f t="shared" ca="1" si="0"/>
        <v>0</v>
      </c>
      <c r="AE17" s="92">
        <f t="shared" ca="1" si="0"/>
        <v>0</v>
      </c>
      <c r="AF17" s="92">
        <f t="shared" ca="1" si="0"/>
        <v>0</v>
      </c>
      <c r="AG17" s="92">
        <f t="shared" ca="1" si="0"/>
        <v>0</v>
      </c>
      <c r="AH17" s="92">
        <f t="shared" ca="1" si="0"/>
        <v>0</v>
      </c>
      <c r="AI17" s="92">
        <f t="shared" ca="1" si="0"/>
        <v>0</v>
      </c>
      <c r="AJ17" s="92">
        <f t="shared" ca="1" si="0"/>
        <v>0</v>
      </c>
      <c r="AK17" s="92">
        <f t="shared" ca="1" si="0"/>
        <v>0</v>
      </c>
      <c r="AL17" s="92">
        <f t="shared" ca="1" si="0"/>
        <v>0</v>
      </c>
    </row>
    <row r="18" spans="1:38" ht="18.75">
      <c r="A18" s="18" t="s">
        <v>200</v>
      </c>
    </row>
    <row r="19" spans="1:38" outlineLevel="1">
      <c r="A19" t="s">
        <v>24</v>
      </c>
      <c r="B19" s="81"/>
      <c r="C19" s="88">
        <f t="shared" ref="C19:C30" ca="1" si="1">+SUM(C5)</f>
        <v>0</v>
      </c>
      <c r="D19" s="88">
        <f ca="1">SUM($C5:D5)</f>
        <v>0</v>
      </c>
      <c r="E19" s="88">
        <f ca="1">SUM($C5:E5)</f>
        <v>0</v>
      </c>
      <c r="F19" s="88">
        <f ca="1">SUM($C5:F5)</f>
        <v>0</v>
      </c>
      <c r="G19" s="88">
        <f ca="1">SUM($C5:G5)</f>
        <v>0</v>
      </c>
      <c r="H19" s="88">
        <f ca="1">SUM($C5:H5)</f>
        <v>0</v>
      </c>
      <c r="I19" s="88">
        <f ca="1">SUM($C5:I5)</f>
        <v>0</v>
      </c>
      <c r="J19" s="88">
        <f ca="1">SUM($C5:J5)</f>
        <v>0</v>
      </c>
      <c r="K19" s="88">
        <f ca="1">SUM($C5:K5)</f>
        <v>0</v>
      </c>
      <c r="L19" s="88">
        <f ca="1">SUM($C5:L5)</f>
        <v>0</v>
      </c>
      <c r="M19" s="88">
        <f ca="1">SUM($C5:M5)</f>
        <v>0</v>
      </c>
      <c r="N19" s="88">
        <f ca="1">SUM($C5:N5)</f>
        <v>0</v>
      </c>
      <c r="O19" s="89">
        <f ca="1">SUM($C5:O5)</f>
        <v>0</v>
      </c>
      <c r="P19" s="89">
        <f ca="1">SUM($C5:P5)</f>
        <v>0</v>
      </c>
      <c r="Q19" s="89">
        <f ca="1">SUM($C5:Q5)</f>
        <v>0</v>
      </c>
      <c r="R19" s="89">
        <f ca="1">SUM($C5:R5)</f>
        <v>0</v>
      </c>
      <c r="S19" s="89">
        <f ca="1">SUM($C5:S5)</f>
        <v>0</v>
      </c>
      <c r="T19" s="89">
        <f ca="1">SUM($C5:T5)</f>
        <v>0</v>
      </c>
      <c r="U19" s="89">
        <f ca="1">SUM($C5:U5)</f>
        <v>0</v>
      </c>
      <c r="V19" s="89">
        <f ca="1">SUM($C5:V5)</f>
        <v>0</v>
      </c>
      <c r="W19" s="89">
        <f ca="1">SUM($C5:W5)</f>
        <v>0</v>
      </c>
      <c r="X19" s="89">
        <f ca="1">SUM($C5:X5)</f>
        <v>0</v>
      </c>
      <c r="Y19" s="89">
        <f ca="1">SUM($C5:Y5)</f>
        <v>0</v>
      </c>
      <c r="Z19" s="89">
        <f ca="1">SUM($C5:Z5)</f>
        <v>0</v>
      </c>
      <c r="AA19" s="88">
        <f ca="1">SUM($C5:AA5)</f>
        <v>0</v>
      </c>
      <c r="AB19" s="88">
        <f ca="1">SUM($C5:AB5)</f>
        <v>0</v>
      </c>
      <c r="AC19" s="88">
        <f ca="1">SUM($C5:AC5)</f>
        <v>0</v>
      </c>
      <c r="AD19" s="88">
        <f ca="1">SUM($C5:AD5)</f>
        <v>0</v>
      </c>
      <c r="AE19" s="88">
        <f ca="1">SUM($C5:AE5)</f>
        <v>0</v>
      </c>
      <c r="AF19" s="88">
        <f ca="1">SUM($C5:AF5)</f>
        <v>0</v>
      </c>
      <c r="AG19" s="88">
        <f ca="1">SUM($C5:AG5)</f>
        <v>0</v>
      </c>
      <c r="AH19" s="88">
        <f ca="1">SUM($C5:AH5)</f>
        <v>0</v>
      </c>
      <c r="AI19" s="88">
        <f ca="1">SUM($C5:AI5)</f>
        <v>0</v>
      </c>
      <c r="AJ19" s="88">
        <f ca="1">SUM($C5:AJ5)</f>
        <v>0</v>
      </c>
      <c r="AK19" s="88">
        <f ca="1">SUM($C5:AK5)</f>
        <v>0</v>
      </c>
      <c r="AL19" s="88">
        <f ca="1">SUM($C5:AL5)</f>
        <v>0</v>
      </c>
    </row>
    <row r="20" spans="1:38" outlineLevel="1">
      <c r="A20" t="s">
        <v>25</v>
      </c>
      <c r="B20" s="81"/>
      <c r="C20" s="88">
        <f t="shared" ca="1" si="1"/>
        <v>0</v>
      </c>
      <c r="D20" s="88">
        <f ca="1">SUM($C6:D6)</f>
        <v>0</v>
      </c>
      <c r="E20" s="88">
        <f ca="1">SUM($C6:E6)</f>
        <v>0</v>
      </c>
      <c r="F20" s="88">
        <f ca="1">SUM($C6:F6)</f>
        <v>0</v>
      </c>
      <c r="G20" s="88">
        <f ca="1">SUM($C6:G6)</f>
        <v>0</v>
      </c>
      <c r="H20" s="88">
        <f ca="1">SUM($C6:H6)</f>
        <v>0</v>
      </c>
      <c r="I20" s="88">
        <f ca="1">SUM($C6:I6)</f>
        <v>0</v>
      </c>
      <c r="J20" s="88">
        <f ca="1">SUM($C6:J6)</f>
        <v>0</v>
      </c>
      <c r="K20" s="88">
        <f ca="1">SUM($C6:K6)</f>
        <v>0</v>
      </c>
      <c r="L20" s="88">
        <f ca="1">SUM($C6:L6)</f>
        <v>0</v>
      </c>
      <c r="M20" s="88">
        <f ca="1">SUM($C6:M6)</f>
        <v>0</v>
      </c>
      <c r="N20" s="88">
        <f ca="1">SUM($C6:N6)</f>
        <v>0</v>
      </c>
      <c r="O20" s="89">
        <f ca="1">SUM($C6:O6)</f>
        <v>0</v>
      </c>
      <c r="P20" s="89">
        <f ca="1">SUM($C6:P6)</f>
        <v>0</v>
      </c>
      <c r="Q20" s="89">
        <f ca="1">SUM($C6:Q6)</f>
        <v>0</v>
      </c>
      <c r="R20" s="89">
        <f ca="1">SUM($C6:R6)</f>
        <v>0</v>
      </c>
      <c r="S20" s="89">
        <f ca="1">SUM($C6:S6)</f>
        <v>0</v>
      </c>
      <c r="T20" s="89">
        <f ca="1">SUM($C6:T6)</f>
        <v>0</v>
      </c>
      <c r="U20" s="89">
        <f ca="1">SUM($C6:U6)</f>
        <v>0</v>
      </c>
      <c r="V20" s="89">
        <f ca="1">SUM($C6:V6)</f>
        <v>0</v>
      </c>
      <c r="W20" s="89">
        <f ca="1">SUM($C6:W6)</f>
        <v>0</v>
      </c>
      <c r="X20" s="89">
        <f ca="1">SUM($C6:X6)</f>
        <v>0</v>
      </c>
      <c r="Y20" s="89">
        <f ca="1">SUM($C6:Y6)</f>
        <v>0</v>
      </c>
      <c r="Z20" s="89">
        <f ca="1">SUM($C6:Z6)</f>
        <v>0</v>
      </c>
      <c r="AA20" s="88">
        <f ca="1">SUM($C6:AA6)</f>
        <v>0</v>
      </c>
      <c r="AB20" s="88">
        <f ca="1">SUM($C6:AB6)</f>
        <v>0</v>
      </c>
      <c r="AC20" s="88">
        <f ca="1">SUM($C6:AC6)</f>
        <v>0</v>
      </c>
      <c r="AD20" s="88">
        <f ca="1">SUM($C6:AD6)</f>
        <v>0</v>
      </c>
      <c r="AE20" s="88">
        <f ca="1">SUM($C6:AE6)</f>
        <v>0</v>
      </c>
      <c r="AF20" s="88">
        <f ca="1">SUM($C6:AF6)</f>
        <v>0</v>
      </c>
      <c r="AG20" s="88">
        <f ca="1">SUM($C6:AG6)</f>
        <v>0</v>
      </c>
      <c r="AH20" s="88">
        <f ca="1">SUM($C6:AH6)</f>
        <v>0</v>
      </c>
      <c r="AI20" s="88">
        <f ca="1">SUM($C6:AI6)</f>
        <v>0</v>
      </c>
      <c r="AJ20" s="88">
        <f ca="1">SUM($C6:AJ6)</f>
        <v>0</v>
      </c>
      <c r="AK20" s="88">
        <f ca="1">SUM($C6:AK6)</f>
        <v>0</v>
      </c>
      <c r="AL20" s="88">
        <f ca="1">SUM($C6:AL6)</f>
        <v>0</v>
      </c>
    </row>
    <row r="21" spans="1:38" outlineLevel="1">
      <c r="A21" t="s">
        <v>26</v>
      </c>
      <c r="B21" s="81"/>
      <c r="C21" s="88">
        <f t="shared" ca="1" si="1"/>
        <v>0</v>
      </c>
      <c r="D21" s="88">
        <f ca="1">SUM($C7:D7)</f>
        <v>0</v>
      </c>
      <c r="E21" s="88">
        <f ca="1">SUM($C7:E7)</f>
        <v>0</v>
      </c>
      <c r="F21" s="88">
        <f ca="1">SUM($C7:F7)</f>
        <v>0</v>
      </c>
      <c r="G21" s="88">
        <f ca="1">SUM($C7:G7)</f>
        <v>0</v>
      </c>
      <c r="H21" s="88">
        <f ca="1">SUM($C7:H7)</f>
        <v>0</v>
      </c>
      <c r="I21" s="88">
        <f ca="1">SUM($C7:I7)</f>
        <v>0</v>
      </c>
      <c r="J21" s="88">
        <f ca="1">SUM($C7:J7)</f>
        <v>0</v>
      </c>
      <c r="K21" s="88">
        <f ca="1">SUM($C7:K7)</f>
        <v>0</v>
      </c>
      <c r="L21" s="88">
        <f ca="1">SUM($C7:L7)</f>
        <v>0</v>
      </c>
      <c r="M21" s="88">
        <f ca="1">SUM($C7:M7)</f>
        <v>0</v>
      </c>
      <c r="N21" s="88">
        <f ca="1">SUM($C7:N7)</f>
        <v>0</v>
      </c>
      <c r="O21" s="89">
        <f ca="1">SUM($C7:O7)</f>
        <v>0</v>
      </c>
      <c r="P21" s="89">
        <f ca="1">SUM($C7:P7)</f>
        <v>0</v>
      </c>
      <c r="Q21" s="89">
        <f ca="1">SUM($C7:Q7)</f>
        <v>0</v>
      </c>
      <c r="R21" s="89">
        <f ca="1">SUM($C7:R7)</f>
        <v>0</v>
      </c>
      <c r="S21" s="89">
        <f ca="1">SUM($C7:S7)</f>
        <v>0</v>
      </c>
      <c r="T21" s="89">
        <f ca="1">SUM($C7:T7)</f>
        <v>0</v>
      </c>
      <c r="U21" s="89">
        <f ca="1">SUM($C7:U7)</f>
        <v>0</v>
      </c>
      <c r="V21" s="89">
        <f ca="1">SUM($C7:V7)</f>
        <v>0</v>
      </c>
      <c r="W21" s="89">
        <f ca="1">SUM($C7:W7)</f>
        <v>0</v>
      </c>
      <c r="X21" s="89">
        <f ca="1">SUM($C7:X7)</f>
        <v>0</v>
      </c>
      <c r="Y21" s="89">
        <f ca="1">SUM($C7:Y7)</f>
        <v>0</v>
      </c>
      <c r="Z21" s="89">
        <f ca="1">SUM($C7:Z7)</f>
        <v>0</v>
      </c>
      <c r="AA21" s="88">
        <f ca="1">SUM($C7:AA7)</f>
        <v>0</v>
      </c>
      <c r="AB21" s="88">
        <f ca="1">SUM($C7:AB7)</f>
        <v>0</v>
      </c>
      <c r="AC21" s="88">
        <f ca="1">SUM($C7:AC7)</f>
        <v>0</v>
      </c>
      <c r="AD21" s="88">
        <f ca="1">SUM($C7:AD7)</f>
        <v>0</v>
      </c>
      <c r="AE21" s="88">
        <f ca="1">SUM($C7:AE7)</f>
        <v>0</v>
      </c>
      <c r="AF21" s="88">
        <f ca="1">SUM($C7:AF7)</f>
        <v>0</v>
      </c>
      <c r="AG21" s="88">
        <f ca="1">SUM($C7:AG7)</f>
        <v>0</v>
      </c>
      <c r="AH21" s="88">
        <f ca="1">SUM($C7:AH7)</f>
        <v>0</v>
      </c>
      <c r="AI21" s="88">
        <f ca="1">SUM($C7:AI7)</f>
        <v>0</v>
      </c>
      <c r="AJ21" s="88">
        <f ca="1">SUM($C7:AJ7)</f>
        <v>0</v>
      </c>
      <c r="AK21" s="88">
        <f ca="1">SUM($C7:AK7)</f>
        <v>0</v>
      </c>
      <c r="AL21" s="88">
        <f ca="1">SUM($C7:AL7)</f>
        <v>0</v>
      </c>
    </row>
    <row r="22" spans="1:38" outlineLevel="1">
      <c r="A22" t="s">
        <v>27</v>
      </c>
      <c r="B22" s="81"/>
      <c r="C22" s="88">
        <f t="shared" ca="1" si="1"/>
        <v>0</v>
      </c>
      <c r="D22" s="88">
        <f ca="1">SUM($C8:D8)</f>
        <v>0</v>
      </c>
      <c r="E22" s="88">
        <f ca="1">SUM($C8:E8)</f>
        <v>0</v>
      </c>
      <c r="F22" s="88">
        <f ca="1">SUM($C8:F8)</f>
        <v>0</v>
      </c>
      <c r="G22" s="88">
        <f ca="1">SUM($C8:G8)</f>
        <v>0</v>
      </c>
      <c r="H22" s="88">
        <f ca="1">SUM($C8:H8)</f>
        <v>0</v>
      </c>
      <c r="I22" s="88">
        <f ca="1">SUM($C8:I8)</f>
        <v>0</v>
      </c>
      <c r="J22" s="88">
        <f ca="1">SUM($C8:J8)</f>
        <v>0</v>
      </c>
      <c r="K22" s="88">
        <f ca="1">SUM($C8:K8)</f>
        <v>0</v>
      </c>
      <c r="L22" s="88">
        <f ca="1">SUM($C8:L8)</f>
        <v>0</v>
      </c>
      <c r="M22" s="88">
        <f ca="1">SUM($C8:M8)</f>
        <v>0</v>
      </c>
      <c r="N22" s="88">
        <f ca="1">SUM($C8:N8)</f>
        <v>0</v>
      </c>
      <c r="O22" s="89">
        <f ca="1">SUM($C8:O8)</f>
        <v>0</v>
      </c>
      <c r="P22" s="89">
        <f ca="1">SUM($C8:P8)</f>
        <v>0</v>
      </c>
      <c r="Q22" s="89">
        <f ca="1">SUM($C8:Q8)</f>
        <v>0</v>
      </c>
      <c r="R22" s="89">
        <f ca="1">SUM($C8:R8)</f>
        <v>0</v>
      </c>
      <c r="S22" s="89">
        <f ca="1">SUM($C8:S8)</f>
        <v>0</v>
      </c>
      <c r="T22" s="89">
        <f ca="1">SUM($C8:T8)</f>
        <v>0</v>
      </c>
      <c r="U22" s="89">
        <f ca="1">SUM($C8:U8)</f>
        <v>0</v>
      </c>
      <c r="V22" s="89">
        <f ca="1">SUM($C8:V8)</f>
        <v>0</v>
      </c>
      <c r="W22" s="89">
        <f ca="1">SUM($C8:W8)</f>
        <v>0</v>
      </c>
      <c r="X22" s="89">
        <f ca="1">SUM($C8:X8)</f>
        <v>0</v>
      </c>
      <c r="Y22" s="89">
        <f ca="1">SUM($C8:Y8)</f>
        <v>0</v>
      </c>
      <c r="Z22" s="89">
        <f ca="1">SUM($C8:Z8)</f>
        <v>0</v>
      </c>
      <c r="AA22" s="88">
        <f ca="1">SUM($C8:AA8)</f>
        <v>0</v>
      </c>
      <c r="AB22" s="88">
        <f ca="1">SUM($C8:AB8)</f>
        <v>0</v>
      </c>
      <c r="AC22" s="88">
        <f ca="1">SUM($C8:AC8)</f>
        <v>0</v>
      </c>
      <c r="AD22" s="88">
        <f ca="1">SUM($C8:AD8)</f>
        <v>0</v>
      </c>
      <c r="AE22" s="88">
        <f ca="1">SUM($C8:AE8)</f>
        <v>0</v>
      </c>
      <c r="AF22" s="88">
        <f ca="1">SUM($C8:AF8)</f>
        <v>0</v>
      </c>
      <c r="AG22" s="88">
        <f ca="1">SUM($C8:AG8)</f>
        <v>0</v>
      </c>
      <c r="AH22" s="88">
        <f ca="1">SUM($C8:AH8)</f>
        <v>0</v>
      </c>
      <c r="AI22" s="88">
        <f ca="1">SUM($C8:AI8)</f>
        <v>0</v>
      </c>
      <c r="AJ22" s="88">
        <f ca="1">SUM($C8:AJ8)</f>
        <v>0</v>
      </c>
      <c r="AK22" s="88">
        <f ca="1">SUM($C8:AK8)</f>
        <v>0</v>
      </c>
      <c r="AL22" s="88">
        <f ca="1">SUM($C8:AL8)</f>
        <v>0</v>
      </c>
    </row>
    <row r="23" spans="1:38" outlineLevel="1">
      <c r="A23" t="s">
        <v>28</v>
      </c>
      <c r="B23" s="81"/>
      <c r="C23" s="88">
        <f t="shared" ca="1" si="1"/>
        <v>0</v>
      </c>
      <c r="D23" s="88">
        <f ca="1">SUM($C9:D9)</f>
        <v>0</v>
      </c>
      <c r="E23" s="88">
        <f ca="1">SUM($C9:E9)</f>
        <v>0</v>
      </c>
      <c r="F23" s="88">
        <f ca="1">SUM($C9:F9)</f>
        <v>0</v>
      </c>
      <c r="G23" s="88">
        <f ca="1">SUM($C9:G9)</f>
        <v>0</v>
      </c>
      <c r="H23" s="88">
        <f ca="1">SUM($C9:H9)</f>
        <v>0</v>
      </c>
      <c r="I23" s="88">
        <f ca="1">SUM($C9:I9)</f>
        <v>0</v>
      </c>
      <c r="J23" s="88">
        <f ca="1">SUM($C9:J9)</f>
        <v>0</v>
      </c>
      <c r="K23" s="88">
        <f ca="1">SUM($C9:K9)</f>
        <v>0</v>
      </c>
      <c r="L23" s="88">
        <f ca="1">SUM($C9:L9)</f>
        <v>0</v>
      </c>
      <c r="M23" s="88">
        <f ca="1">SUM($C9:M9)</f>
        <v>0</v>
      </c>
      <c r="N23" s="88">
        <f ca="1">SUM($C9:N9)</f>
        <v>0</v>
      </c>
      <c r="O23" s="89">
        <f ca="1">SUM($C9:O9)</f>
        <v>0</v>
      </c>
      <c r="P23" s="89">
        <f ca="1">SUM($C9:P9)</f>
        <v>0</v>
      </c>
      <c r="Q23" s="89">
        <f ca="1">SUM($C9:Q9)</f>
        <v>0</v>
      </c>
      <c r="R23" s="89">
        <f ca="1">SUM($C9:R9)</f>
        <v>0</v>
      </c>
      <c r="S23" s="89">
        <f ca="1">SUM($C9:S9)</f>
        <v>0</v>
      </c>
      <c r="T23" s="89">
        <f ca="1">SUM($C9:T9)</f>
        <v>0</v>
      </c>
      <c r="U23" s="89">
        <f ca="1">SUM($C9:U9)</f>
        <v>0</v>
      </c>
      <c r="V23" s="89">
        <f ca="1">SUM($C9:V9)</f>
        <v>0</v>
      </c>
      <c r="W23" s="89">
        <f ca="1">SUM($C9:W9)</f>
        <v>0</v>
      </c>
      <c r="X23" s="89">
        <f ca="1">SUM($C9:X9)</f>
        <v>0</v>
      </c>
      <c r="Y23" s="89">
        <f ca="1">SUM($C9:Y9)</f>
        <v>0</v>
      </c>
      <c r="Z23" s="89">
        <f ca="1">SUM($C9:Z9)</f>
        <v>0</v>
      </c>
      <c r="AA23" s="88">
        <f ca="1">SUM($C9:AA9)</f>
        <v>0</v>
      </c>
      <c r="AB23" s="88">
        <f ca="1">SUM($C9:AB9)</f>
        <v>0</v>
      </c>
      <c r="AC23" s="88">
        <f ca="1">SUM($C9:AC9)</f>
        <v>0</v>
      </c>
      <c r="AD23" s="88">
        <f ca="1">SUM($C9:AD9)</f>
        <v>0</v>
      </c>
      <c r="AE23" s="88">
        <f ca="1">SUM($C9:AE9)</f>
        <v>0</v>
      </c>
      <c r="AF23" s="88">
        <f ca="1">SUM($C9:AF9)</f>
        <v>0</v>
      </c>
      <c r="AG23" s="88">
        <f ca="1">SUM($C9:AG9)</f>
        <v>0</v>
      </c>
      <c r="AH23" s="88">
        <f ca="1">SUM($C9:AH9)</f>
        <v>0</v>
      </c>
      <c r="AI23" s="88">
        <f ca="1">SUM($C9:AI9)</f>
        <v>0</v>
      </c>
      <c r="AJ23" s="88">
        <f ca="1">SUM($C9:AJ9)</f>
        <v>0</v>
      </c>
      <c r="AK23" s="88">
        <f ca="1">SUM($C9:AK9)</f>
        <v>0</v>
      </c>
      <c r="AL23" s="88">
        <f ca="1">SUM($C9:AL9)</f>
        <v>0</v>
      </c>
    </row>
    <row r="24" spans="1:38" outlineLevel="1">
      <c r="A24" t="s">
        <v>29</v>
      </c>
      <c r="B24" s="81"/>
      <c r="C24" s="88">
        <f t="shared" ca="1" si="1"/>
        <v>0</v>
      </c>
      <c r="D24" s="88">
        <f ca="1">SUM($C10:D10)</f>
        <v>0</v>
      </c>
      <c r="E24" s="88">
        <f ca="1">SUM($C10:E10)</f>
        <v>0</v>
      </c>
      <c r="F24" s="88">
        <f ca="1">SUM($C10:F10)</f>
        <v>0</v>
      </c>
      <c r="G24" s="88">
        <f ca="1">SUM($C10:G10)</f>
        <v>0</v>
      </c>
      <c r="H24" s="88">
        <f ca="1">SUM($C10:H10)</f>
        <v>0</v>
      </c>
      <c r="I24" s="88">
        <f ca="1">SUM($C10:I10)</f>
        <v>0</v>
      </c>
      <c r="J24" s="88">
        <f ca="1">SUM($C10:J10)</f>
        <v>0</v>
      </c>
      <c r="K24" s="88">
        <f ca="1">SUM($C10:K10)</f>
        <v>0</v>
      </c>
      <c r="L24" s="88">
        <f ca="1">SUM($C10:L10)</f>
        <v>0</v>
      </c>
      <c r="M24" s="88">
        <f ca="1">SUM($C10:M10)</f>
        <v>0</v>
      </c>
      <c r="N24" s="88">
        <f ca="1">SUM($C10:N10)</f>
        <v>0</v>
      </c>
      <c r="O24" s="89">
        <f ca="1">SUM($C10:O10)</f>
        <v>0</v>
      </c>
      <c r="P24" s="89">
        <f ca="1">SUM($C10:P10)</f>
        <v>0</v>
      </c>
      <c r="Q24" s="89">
        <f ca="1">SUM($C10:Q10)</f>
        <v>0</v>
      </c>
      <c r="R24" s="89">
        <f ca="1">SUM($C10:R10)</f>
        <v>0</v>
      </c>
      <c r="S24" s="89">
        <f ca="1">SUM($C10:S10)</f>
        <v>0</v>
      </c>
      <c r="T24" s="89">
        <f ca="1">SUM($C10:T10)</f>
        <v>0</v>
      </c>
      <c r="U24" s="89">
        <f ca="1">SUM($C10:U10)</f>
        <v>0</v>
      </c>
      <c r="V24" s="89">
        <f ca="1">SUM($C10:V10)</f>
        <v>0</v>
      </c>
      <c r="W24" s="89">
        <f ca="1">SUM($C10:W10)</f>
        <v>0</v>
      </c>
      <c r="X24" s="89">
        <f ca="1">SUM($C10:X10)</f>
        <v>0</v>
      </c>
      <c r="Y24" s="89">
        <f ca="1">SUM($C10:Y10)</f>
        <v>0</v>
      </c>
      <c r="Z24" s="89">
        <f ca="1">SUM($C10:Z10)</f>
        <v>0</v>
      </c>
      <c r="AA24" s="88">
        <f ca="1">SUM($C10:AA10)</f>
        <v>0</v>
      </c>
      <c r="AB24" s="88">
        <f ca="1">SUM($C10:AB10)</f>
        <v>0</v>
      </c>
      <c r="AC24" s="88">
        <f ca="1">SUM($C10:AC10)</f>
        <v>0</v>
      </c>
      <c r="AD24" s="88">
        <f ca="1">SUM($C10:AD10)</f>
        <v>0</v>
      </c>
      <c r="AE24" s="88">
        <f ca="1">SUM($C10:AE10)</f>
        <v>0</v>
      </c>
      <c r="AF24" s="88">
        <f ca="1">SUM($C10:AF10)</f>
        <v>0</v>
      </c>
      <c r="AG24" s="88">
        <f ca="1">SUM($C10:AG10)</f>
        <v>0</v>
      </c>
      <c r="AH24" s="88">
        <f ca="1">SUM($C10:AH10)</f>
        <v>0</v>
      </c>
      <c r="AI24" s="88">
        <f ca="1">SUM($C10:AI10)</f>
        <v>0</v>
      </c>
      <c r="AJ24" s="88">
        <f ca="1">SUM($C10:AJ10)</f>
        <v>0</v>
      </c>
      <c r="AK24" s="88">
        <f ca="1">SUM($C10:AK10)</f>
        <v>0</v>
      </c>
      <c r="AL24" s="88">
        <f ca="1">SUM($C10:AL10)</f>
        <v>0</v>
      </c>
    </row>
    <row r="25" spans="1:38" outlineLevel="1">
      <c r="A25" t="s">
        <v>30</v>
      </c>
      <c r="B25" s="81"/>
      <c r="C25" s="88">
        <f ca="1">+SUM(C11)</f>
        <v>0</v>
      </c>
      <c r="D25" s="88">
        <f ca="1">SUM($C11:D11)</f>
        <v>0</v>
      </c>
      <c r="E25" s="88">
        <f ca="1">SUM($C11:E11)</f>
        <v>0</v>
      </c>
      <c r="F25" s="88">
        <f ca="1">SUM($C11:F11)</f>
        <v>0</v>
      </c>
      <c r="G25" s="88">
        <f ca="1">SUM($C11:G11)</f>
        <v>0</v>
      </c>
      <c r="H25" s="88">
        <f ca="1">SUM($C11:H11)</f>
        <v>0</v>
      </c>
      <c r="I25" s="88">
        <f ca="1">SUM($C11:I11)</f>
        <v>0</v>
      </c>
      <c r="J25" s="88">
        <f ca="1">SUM($C11:J11)</f>
        <v>0</v>
      </c>
      <c r="K25" s="88">
        <f ca="1">SUM($C11:K11)</f>
        <v>0</v>
      </c>
      <c r="L25" s="88">
        <f ca="1">SUM($C11:L11)</f>
        <v>0</v>
      </c>
      <c r="M25" s="88">
        <f ca="1">SUM($C11:M11)</f>
        <v>0</v>
      </c>
      <c r="N25" s="88">
        <f ca="1">SUM($C11:N11)</f>
        <v>0</v>
      </c>
      <c r="O25" s="89">
        <f ca="1">SUM($C11:O11)</f>
        <v>0</v>
      </c>
      <c r="P25" s="89">
        <f ca="1">SUM($C11:P11)</f>
        <v>0</v>
      </c>
      <c r="Q25" s="89">
        <f ca="1">SUM($C11:Q11)</f>
        <v>0</v>
      </c>
      <c r="R25" s="89">
        <f ca="1">SUM($C11:R11)</f>
        <v>0</v>
      </c>
      <c r="S25" s="89">
        <f ca="1">SUM($C11:S11)</f>
        <v>0</v>
      </c>
      <c r="T25" s="89">
        <f ca="1">SUM($C11:T11)</f>
        <v>0</v>
      </c>
      <c r="U25" s="89">
        <f ca="1">SUM($C11:U11)</f>
        <v>0</v>
      </c>
      <c r="V25" s="89">
        <f ca="1">SUM($C11:V11)</f>
        <v>0</v>
      </c>
      <c r="W25" s="89">
        <f ca="1">SUM($C11:W11)</f>
        <v>0</v>
      </c>
      <c r="X25" s="89">
        <f ca="1">SUM($C11:X11)</f>
        <v>0</v>
      </c>
      <c r="Y25" s="89">
        <f ca="1">SUM($C11:Y11)</f>
        <v>0</v>
      </c>
      <c r="Z25" s="89">
        <f ca="1">SUM($C11:Z11)</f>
        <v>0</v>
      </c>
      <c r="AA25" s="88">
        <f ca="1">SUM($C11:AA11)</f>
        <v>0</v>
      </c>
      <c r="AB25" s="88">
        <f ca="1">SUM($C11:AB11)</f>
        <v>0</v>
      </c>
      <c r="AC25" s="88">
        <f ca="1">SUM($C11:AC11)</f>
        <v>0</v>
      </c>
      <c r="AD25" s="88">
        <f ca="1">SUM($C11:AD11)</f>
        <v>0</v>
      </c>
      <c r="AE25" s="88">
        <f ca="1">SUM($C11:AE11)</f>
        <v>0</v>
      </c>
      <c r="AF25" s="88">
        <f ca="1">SUM($C11:AF11)</f>
        <v>0</v>
      </c>
      <c r="AG25" s="88">
        <f ca="1">SUM($C11:AG11)</f>
        <v>0</v>
      </c>
      <c r="AH25" s="88">
        <f ca="1">SUM($C11:AH11)</f>
        <v>0</v>
      </c>
      <c r="AI25" s="88">
        <f ca="1">SUM($C11:AI11)</f>
        <v>0</v>
      </c>
      <c r="AJ25" s="88">
        <f ca="1">SUM($C11:AJ11)</f>
        <v>0</v>
      </c>
      <c r="AK25" s="88">
        <f ca="1">SUM($C11:AK11)</f>
        <v>0</v>
      </c>
      <c r="AL25" s="88">
        <f ca="1">SUM($C11:AL11)</f>
        <v>0</v>
      </c>
    </row>
    <row r="26" spans="1:38" outlineLevel="1">
      <c r="A26" t="s">
        <v>31</v>
      </c>
      <c r="B26" s="81"/>
      <c r="C26" s="88">
        <f t="shared" ca="1" si="1"/>
        <v>0</v>
      </c>
      <c r="D26" s="88">
        <f ca="1">SUM($C12:D12)</f>
        <v>0</v>
      </c>
      <c r="E26" s="88">
        <f ca="1">SUM($C12:E12)</f>
        <v>0</v>
      </c>
      <c r="F26" s="88">
        <f ca="1">SUM($C12:F12)</f>
        <v>0</v>
      </c>
      <c r="G26" s="88">
        <f ca="1">SUM($C12:G12)</f>
        <v>0</v>
      </c>
      <c r="H26" s="88">
        <f ca="1">SUM($C12:H12)</f>
        <v>0</v>
      </c>
      <c r="I26" s="88">
        <f ca="1">SUM($C12:I12)</f>
        <v>0</v>
      </c>
      <c r="J26" s="88">
        <f ca="1">SUM($C12:J12)</f>
        <v>0</v>
      </c>
      <c r="K26" s="88">
        <f ca="1">SUM($C12:K12)</f>
        <v>0</v>
      </c>
      <c r="L26" s="88">
        <f ca="1">SUM($C12:L12)</f>
        <v>0</v>
      </c>
      <c r="M26" s="88">
        <f ca="1">SUM($C12:M12)</f>
        <v>0</v>
      </c>
      <c r="N26" s="88">
        <f ca="1">SUM($C12:N12)</f>
        <v>0</v>
      </c>
      <c r="O26" s="89">
        <f ca="1">SUM($C12:O12)</f>
        <v>0</v>
      </c>
      <c r="P26" s="89">
        <f ca="1">SUM($C12:P12)</f>
        <v>0</v>
      </c>
      <c r="Q26" s="89">
        <f ca="1">SUM($C12:Q12)</f>
        <v>0</v>
      </c>
      <c r="R26" s="89">
        <f ca="1">SUM($C12:R12)</f>
        <v>0</v>
      </c>
      <c r="S26" s="89">
        <f ca="1">SUM($C12:S12)</f>
        <v>0</v>
      </c>
      <c r="T26" s="89">
        <f ca="1">SUM($C12:T12)</f>
        <v>0</v>
      </c>
      <c r="U26" s="89">
        <f ca="1">SUM($C12:U12)</f>
        <v>0</v>
      </c>
      <c r="V26" s="89">
        <f ca="1">SUM($C12:V12)</f>
        <v>0</v>
      </c>
      <c r="W26" s="89">
        <f ca="1">SUM($C12:W12)</f>
        <v>0</v>
      </c>
      <c r="X26" s="89">
        <f ca="1">SUM($C12:X12)</f>
        <v>0</v>
      </c>
      <c r="Y26" s="89">
        <f ca="1">SUM($C12:Y12)</f>
        <v>0</v>
      </c>
      <c r="Z26" s="89">
        <f ca="1">SUM($C12:Z12)</f>
        <v>0</v>
      </c>
      <c r="AA26" s="88">
        <f ca="1">SUM($C12:AA12)</f>
        <v>0</v>
      </c>
      <c r="AB26" s="88">
        <f ca="1">SUM($C12:AB12)</f>
        <v>0</v>
      </c>
      <c r="AC26" s="88">
        <f ca="1">SUM($C12:AC12)</f>
        <v>0</v>
      </c>
      <c r="AD26" s="88">
        <f ca="1">SUM($C12:AD12)</f>
        <v>0</v>
      </c>
      <c r="AE26" s="88">
        <f ca="1">SUM($C12:AE12)</f>
        <v>0</v>
      </c>
      <c r="AF26" s="88">
        <f ca="1">SUM($C12:AF12)</f>
        <v>0</v>
      </c>
      <c r="AG26" s="88">
        <f ca="1">SUM($C12:AG12)</f>
        <v>0</v>
      </c>
      <c r="AH26" s="88">
        <f ca="1">SUM($C12:AH12)</f>
        <v>0</v>
      </c>
      <c r="AI26" s="88">
        <f ca="1">SUM($C12:AI12)</f>
        <v>0</v>
      </c>
      <c r="AJ26" s="88">
        <f ca="1">SUM($C12:AJ12)</f>
        <v>0</v>
      </c>
      <c r="AK26" s="88">
        <f ca="1">SUM($C12:AK12)</f>
        <v>0</v>
      </c>
      <c r="AL26" s="88">
        <f ca="1">SUM($C12:AL12)</f>
        <v>0</v>
      </c>
    </row>
    <row r="27" spans="1:38" outlineLevel="1">
      <c r="A27" t="s">
        <v>4</v>
      </c>
      <c r="B27" s="81"/>
      <c r="C27" s="88">
        <f t="shared" ca="1" si="1"/>
        <v>0</v>
      </c>
      <c r="D27" s="88">
        <f ca="1">SUM($C13:D13)</f>
        <v>0</v>
      </c>
      <c r="E27" s="88">
        <f ca="1">SUM($C13:E13)</f>
        <v>0</v>
      </c>
      <c r="F27" s="88">
        <f ca="1">SUM($C13:F13)</f>
        <v>0</v>
      </c>
      <c r="G27" s="88">
        <f ca="1">SUM($C13:G13)</f>
        <v>0</v>
      </c>
      <c r="H27" s="88">
        <f ca="1">SUM($C13:H13)</f>
        <v>0</v>
      </c>
      <c r="I27" s="88">
        <f ca="1">SUM($C13:I13)</f>
        <v>0</v>
      </c>
      <c r="J27" s="88">
        <f ca="1">SUM($C13:J13)</f>
        <v>0</v>
      </c>
      <c r="K27" s="88">
        <f ca="1">SUM($C13:K13)</f>
        <v>0</v>
      </c>
      <c r="L27" s="88">
        <f ca="1">SUM($C13:L13)</f>
        <v>0</v>
      </c>
      <c r="M27" s="88">
        <f ca="1">SUM($C13:M13)</f>
        <v>0</v>
      </c>
      <c r="N27" s="88">
        <f ca="1">SUM($C13:N13)</f>
        <v>0</v>
      </c>
      <c r="O27" s="89">
        <f ca="1">SUM($C13:O13)</f>
        <v>0</v>
      </c>
      <c r="P27" s="89">
        <f ca="1">SUM($C13:P13)</f>
        <v>0</v>
      </c>
      <c r="Q27" s="89">
        <f ca="1">SUM($C13:Q13)</f>
        <v>0</v>
      </c>
      <c r="R27" s="89">
        <f ca="1">SUM($C13:R13)</f>
        <v>0</v>
      </c>
      <c r="S27" s="89">
        <f ca="1">SUM($C13:S13)</f>
        <v>0</v>
      </c>
      <c r="T27" s="89">
        <f ca="1">SUM($C13:T13)</f>
        <v>0</v>
      </c>
      <c r="U27" s="89">
        <f ca="1">SUM($C13:U13)</f>
        <v>0</v>
      </c>
      <c r="V27" s="89">
        <f ca="1">SUM($C13:V13)</f>
        <v>0</v>
      </c>
      <c r="W27" s="89">
        <f ca="1">SUM($C13:W13)</f>
        <v>0</v>
      </c>
      <c r="X27" s="89">
        <f ca="1">SUM($C13:X13)</f>
        <v>0</v>
      </c>
      <c r="Y27" s="89">
        <f ca="1">SUM($C13:Y13)</f>
        <v>0</v>
      </c>
      <c r="Z27" s="89">
        <f ca="1">SUM($C13:Z13)</f>
        <v>0</v>
      </c>
      <c r="AA27" s="88">
        <f ca="1">SUM($C13:AA13)</f>
        <v>0</v>
      </c>
      <c r="AB27" s="88">
        <f ca="1">SUM($C13:AB13)</f>
        <v>0</v>
      </c>
      <c r="AC27" s="88">
        <f ca="1">SUM($C13:AC13)</f>
        <v>0</v>
      </c>
      <c r="AD27" s="88">
        <f ca="1">SUM($C13:AD13)</f>
        <v>0</v>
      </c>
      <c r="AE27" s="88">
        <f ca="1">SUM($C13:AE13)</f>
        <v>0</v>
      </c>
      <c r="AF27" s="88">
        <f ca="1">SUM($C13:AF13)</f>
        <v>0</v>
      </c>
      <c r="AG27" s="88">
        <f ca="1">SUM($C13:AG13)</f>
        <v>0</v>
      </c>
      <c r="AH27" s="88">
        <f ca="1">SUM($C13:AH13)</f>
        <v>0</v>
      </c>
      <c r="AI27" s="88">
        <f ca="1">SUM($C13:AI13)</f>
        <v>0</v>
      </c>
      <c r="AJ27" s="88">
        <f ca="1">SUM($C13:AJ13)</f>
        <v>0</v>
      </c>
      <c r="AK27" s="88">
        <f ca="1">SUM($C13:AK13)</f>
        <v>0</v>
      </c>
      <c r="AL27" s="88">
        <f ca="1">SUM($C13:AL13)</f>
        <v>0</v>
      </c>
    </row>
    <row r="28" spans="1:38" outlineLevel="1">
      <c r="A28" t="s">
        <v>32</v>
      </c>
      <c r="B28" s="81"/>
      <c r="C28" s="88">
        <f t="shared" ca="1" si="1"/>
        <v>0</v>
      </c>
      <c r="D28" s="88">
        <f ca="1">SUM($C14:D14)</f>
        <v>0</v>
      </c>
      <c r="E28" s="88">
        <f ca="1">SUM($C14:E14)</f>
        <v>0</v>
      </c>
      <c r="F28" s="88">
        <f ca="1">SUM($C14:F14)</f>
        <v>0</v>
      </c>
      <c r="G28" s="88">
        <f ca="1">SUM($C14:G14)</f>
        <v>0</v>
      </c>
      <c r="H28" s="88">
        <f ca="1">SUM($C14:H14)</f>
        <v>0</v>
      </c>
      <c r="I28" s="88">
        <f ca="1">SUM($C14:I14)</f>
        <v>0</v>
      </c>
      <c r="J28" s="88">
        <f ca="1">SUM($C14:J14)</f>
        <v>0</v>
      </c>
      <c r="K28" s="88">
        <f ca="1">SUM($C14:K14)</f>
        <v>0</v>
      </c>
      <c r="L28" s="88">
        <f ca="1">SUM($C14:L14)</f>
        <v>0</v>
      </c>
      <c r="M28" s="88">
        <f ca="1">SUM($C14:M14)</f>
        <v>0</v>
      </c>
      <c r="N28" s="88">
        <f ca="1">SUM($C14:N14)</f>
        <v>0</v>
      </c>
      <c r="O28" s="89">
        <f ca="1">SUM($C14:O14)</f>
        <v>0</v>
      </c>
      <c r="P28" s="89">
        <f ca="1">SUM($C14:P14)</f>
        <v>0</v>
      </c>
      <c r="Q28" s="89">
        <f ca="1">SUM($C14:Q14)</f>
        <v>0</v>
      </c>
      <c r="R28" s="89">
        <f ca="1">SUM($C14:R14)</f>
        <v>0</v>
      </c>
      <c r="S28" s="89">
        <f ca="1">SUM($C14:S14)</f>
        <v>0</v>
      </c>
      <c r="T28" s="89">
        <f ca="1">SUM($C14:T14)</f>
        <v>0</v>
      </c>
      <c r="U28" s="89">
        <f ca="1">SUM($C14:U14)</f>
        <v>0</v>
      </c>
      <c r="V28" s="89">
        <f ca="1">SUM($C14:V14)</f>
        <v>0</v>
      </c>
      <c r="W28" s="89">
        <f ca="1">SUM($C14:W14)</f>
        <v>0</v>
      </c>
      <c r="X28" s="89">
        <f ca="1">SUM($C14:X14)</f>
        <v>0</v>
      </c>
      <c r="Y28" s="89">
        <f ca="1">SUM($C14:Y14)</f>
        <v>0</v>
      </c>
      <c r="Z28" s="89">
        <f ca="1">SUM($C14:Z14)</f>
        <v>0</v>
      </c>
      <c r="AA28" s="88">
        <f ca="1">SUM($C14:AA14)</f>
        <v>0</v>
      </c>
      <c r="AB28" s="88">
        <f ca="1">SUM($C14:AB14)</f>
        <v>0</v>
      </c>
      <c r="AC28" s="88">
        <f ca="1">SUM($C14:AC14)</f>
        <v>0</v>
      </c>
      <c r="AD28" s="88">
        <f ca="1">SUM($C14:AD14)</f>
        <v>0</v>
      </c>
      <c r="AE28" s="88">
        <f ca="1">SUM($C14:AE14)</f>
        <v>0</v>
      </c>
      <c r="AF28" s="88">
        <f ca="1">SUM($C14:AF14)</f>
        <v>0</v>
      </c>
      <c r="AG28" s="88">
        <f ca="1">SUM($C14:AG14)</f>
        <v>0</v>
      </c>
      <c r="AH28" s="88">
        <f ca="1">SUM($C14:AH14)</f>
        <v>0</v>
      </c>
      <c r="AI28" s="88">
        <f ca="1">SUM($C14:AI14)</f>
        <v>0</v>
      </c>
      <c r="AJ28" s="88">
        <f ca="1">SUM($C14:AJ14)</f>
        <v>0</v>
      </c>
      <c r="AK28" s="88">
        <f ca="1">SUM($C14:AK14)</f>
        <v>0</v>
      </c>
      <c r="AL28" s="88">
        <f ca="1">SUM($C14:AL14)</f>
        <v>0</v>
      </c>
    </row>
    <row r="29" spans="1:38" outlineLevel="1">
      <c r="A29" t="s">
        <v>33</v>
      </c>
      <c r="B29" s="81"/>
      <c r="C29" s="88">
        <f t="shared" ca="1" si="1"/>
        <v>0</v>
      </c>
      <c r="D29" s="88">
        <f ca="1">SUM($C15:D15)</f>
        <v>0</v>
      </c>
      <c r="E29" s="88">
        <f ca="1">SUM($C15:E15)</f>
        <v>0</v>
      </c>
      <c r="F29" s="88">
        <f ca="1">SUM($C15:F15)</f>
        <v>0</v>
      </c>
      <c r="G29" s="88">
        <f ca="1">SUM($C15:G15)</f>
        <v>0</v>
      </c>
      <c r="H29" s="88">
        <f ca="1">SUM($C15:H15)</f>
        <v>0</v>
      </c>
      <c r="I29" s="88">
        <f ca="1">SUM($C15:I15)</f>
        <v>0</v>
      </c>
      <c r="J29" s="88">
        <f ca="1">SUM($C15:J15)</f>
        <v>0</v>
      </c>
      <c r="K29" s="88">
        <f ca="1">SUM($C15:K15)</f>
        <v>0</v>
      </c>
      <c r="L29" s="88">
        <f ca="1">SUM($C15:L15)</f>
        <v>0</v>
      </c>
      <c r="M29" s="88">
        <f ca="1">SUM($C15:M15)</f>
        <v>0</v>
      </c>
      <c r="N29" s="88">
        <f ca="1">SUM($C15:N15)</f>
        <v>0</v>
      </c>
      <c r="O29" s="89">
        <f ca="1">SUM($C15:O15)</f>
        <v>0</v>
      </c>
      <c r="P29" s="89">
        <f ca="1">SUM($C15:P15)</f>
        <v>0</v>
      </c>
      <c r="Q29" s="89">
        <f ca="1">SUM($C15:Q15)</f>
        <v>0</v>
      </c>
      <c r="R29" s="89">
        <f ca="1">SUM($C15:R15)</f>
        <v>0</v>
      </c>
      <c r="S29" s="89">
        <f ca="1">SUM($C15:S15)</f>
        <v>0</v>
      </c>
      <c r="T29" s="89">
        <f ca="1">SUM($C15:T15)</f>
        <v>0</v>
      </c>
      <c r="U29" s="89">
        <f ca="1">SUM($C15:U15)</f>
        <v>0</v>
      </c>
      <c r="V29" s="89">
        <f ca="1">SUM($C15:V15)</f>
        <v>0</v>
      </c>
      <c r="W29" s="89">
        <f ca="1">SUM($C15:W15)</f>
        <v>0</v>
      </c>
      <c r="X29" s="89">
        <f ca="1">SUM($C15:X15)</f>
        <v>0</v>
      </c>
      <c r="Y29" s="89">
        <f ca="1">SUM($C15:Y15)</f>
        <v>0</v>
      </c>
      <c r="Z29" s="89">
        <f ca="1">SUM($C15:Z15)</f>
        <v>0</v>
      </c>
      <c r="AA29" s="88">
        <f ca="1">SUM($C15:AA15)</f>
        <v>0</v>
      </c>
      <c r="AB29" s="88">
        <f ca="1">SUM($C15:AB15)</f>
        <v>0</v>
      </c>
      <c r="AC29" s="88">
        <f ca="1">SUM($C15:AC15)</f>
        <v>0</v>
      </c>
      <c r="AD29" s="88">
        <f ca="1">SUM($C15:AD15)</f>
        <v>0</v>
      </c>
      <c r="AE29" s="88">
        <f ca="1">SUM($C15:AE15)</f>
        <v>0</v>
      </c>
      <c r="AF29" s="88">
        <f ca="1">SUM($C15:AF15)</f>
        <v>0</v>
      </c>
      <c r="AG29" s="88">
        <f ca="1">SUM($C15:AG15)</f>
        <v>0</v>
      </c>
      <c r="AH29" s="88">
        <f ca="1">SUM($C15:AH15)</f>
        <v>0</v>
      </c>
      <c r="AI29" s="88">
        <f ca="1">SUM($C15:AI15)</f>
        <v>0</v>
      </c>
      <c r="AJ29" s="88">
        <f ca="1">SUM($C15:AJ15)</f>
        <v>0</v>
      </c>
      <c r="AK29" s="88">
        <f ca="1">SUM($C15:AK15)</f>
        <v>0</v>
      </c>
      <c r="AL29" s="88">
        <f ca="1">SUM($C15:AL15)</f>
        <v>0</v>
      </c>
    </row>
    <row r="30" spans="1:38" outlineLevel="1">
      <c r="A30" t="s">
        <v>379</v>
      </c>
      <c r="B30" s="81"/>
      <c r="C30" s="88">
        <f t="shared" ca="1" si="1"/>
        <v>0</v>
      </c>
      <c r="D30" s="88">
        <f ca="1">SUM($C16:D16)</f>
        <v>0</v>
      </c>
      <c r="E30" s="88">
        <f ca="1">SUM($C16:E16)</f>
        <v>0</v>
      </c>
      <c r="F30" s="88">
        <f ca="1">SUM($C16:F16)</f>
        <v>0</v>
      </c>
      <c r="G30" s="88">
        <f ca="1">SUM($C16:G16)</f>
        <v>0</v>
      </c>
      <c r="H30" s="88">
        <f ca="1">SUM($C16:H16)</f>
        <v>0</v>
      </c>
      <c r="I30" s="88">
        <f ca="1">SUM($C16:I16)</f>
        <v>0</v>
      </c>
      <c r="J30" s="88">
        <f ca="1">SUM($C16:J16)</f>
        <v>0</v>
      </c>
      <c r="K30" s="88">
        <f ca="1">SUM($C16:K16)</f>
        <v>0</v>
      </c>
      <c r="L30" s="88">
        <f ca="1">SUM($C16:L16)</f>
        <v>0</v>
      </c>
      <c r="M30" s="88">
        <f ca="1">SUM($C16:M16)</f>
        <v>0</v>
      </c>
      <c r="N30" s="88">
        <f ca="1">SUM($C16:N16)</f>
        <v>0</v>
      </c>
      <c r="O30" s="89">
        <f ca="1">SUM($C16:O16)</f>
        <v>0</v>
      </c>
      <c r="P30" s="89">
        <f ca="1">SUM($C16:P16)</f>
        <v>0</v>
      </c>
      <c r="Q30" s="89">
        <f ca="1">SUM($C16:Q16)</f>
        <v>0</v>
      </c>
      <c r="R30" s="89">
        <f ca="1">SUM($C16:R16)</f>
        <v>0</v>
      </c>
      <c r="S30" s="89">
        <f ca="1">SUM($C16:S16)</f>
        <v>0</v>
      </c>
      <c r="T30" s="89">
        <f ca="1">SUM($C16:T16)</f>
        <v>0</v>
      </c>
      <c r="U30" s="89">
        <f ca="1">SUM($C16:U16)</f>
        <v>0</v>
      </c>
      <c r="V30" s="89">
        <f ca="1">SUM($C16:V16)</f>
        <v>0</v>
      </c>
      <c r="W30" s="89">
        <f ca="1">SUM($C16:W16)</f>
        <v>0</v>
      </c>
      <c r="X30" s="89">
        <f ca="1">SUM($C16:X16)</f>
        <v>0</v>
      </c>
      <c r="Y30" s="89">
        <f ca="1">SUM($C16:Y16)</f>
        <v>0</v>
      </c>
      <c r="Z30" s="89">
        <f ca="1">SUM($C16:Z16)</f>
        <v>0</v>
      </c>
      <c r="AA30" s="88">
        <f ca="1">SUM($C16:AA16)</f>
        <v>0</v>
      </c>
      <c r="AB30" s="88">
        <f ca="1">SUM($C16:AB16)</f>
        <v>0</v>
      </c>
      <c r="AC30" s="88">
        <f ca="1">SUM($C16:AC16)</f>
        <v>0</v>
      </c>
      <c r="AD30" s="88">
        <f ca="1">SUM($C16:AD16)</f>
        <v>0</v>
      </c>
      <c r="AE30" s="88">
        <f ca="1">SUM($C16:AE16)</f>
        <v>0</v>
      </c>
      <c r="AF30" s="88">
        <f ca="1">SUM($C16:AF16)</f>
        <v>0</v>
      </c>
      <c r="AG30" s="88">
        <f ca="1">SUM($C16:AG16)</f>
        <v>0</v>
      </c>
      <c r="AH30" s="88">
        <f ca="1">SUM($C16:AH16)</f>
        <v>0</v>
      </c>
      <c r="AI30" s="88">
        <f ca="1">SUM($C16:AI16)</f>
        <v>0</v>
      </c>
      <c r="AJ30" s="88">
        <f ca="1">SUM($C16:AJ16)</f>
        <v>0</v>
      </c>
      <c r="AK30" s="88">
        <f ca="1">SUM($C16:AK16)</f>
        <v>0</v>
      </c>
      <c r="AL30" s="88">
        <f ca="1">SUM($C16:AL16)</f>
        <v>0</v>
      </c>
    </row>
    <row r="31" spans="1:38" s="90" customFormat="1" ht="15.75">
      <c r="A31" s="94" t="s">
        <v>201</v>
      </c>
      <c r="B31" s="91"/>
      <c r="C31" s="92">
        <f t="shared" ref="C31:AL31" ca="1" si="2">SUM(C19:C29)</f>
        <v>0</v>
      </c>
      <c r="D31" s="92">
        <f t="shared" ca="1" si="2"/>
        <v>0</v>
      </c>
      <c r="E31" s="92">
        <f t="shared" ca="1" si="2"/>
        <v>0</v>
      </c>
      <c r="F31" s="92">
        <f t="shared" ca="1" si="2"/>
        <v>0</v>
      </c>
      <c r="G31" s="92">
        <f t="shared" ca="1" si="2"/>
        <v>0</v>
      </c>
      <c r="H31" s="92">
        <f t="shared" ca="1" si="2"/>
        <v>0</v>
      </c>
      <c r="I31" s="92">
        <f t="shared" ca="1" si="2"/>
        <v>0</v>
      </c>
      <c r="J31" s="92">
        <f t="shared" ca="1" si="2"/>
        <v>0</v>
      </c>
      <c r="K31" s="92">
        <f t="shared" ca="1" si="2"/>
        <v>0</v>
      </c>
      <c r="L31" s="92">
        <f t="shared" ca="1" si="2"/>
        <v>0</v>
      </c>
      <c r="M31" s="92">
        <f t="shared" ca="1" si="2"/>
        <v>0</v>
      </c>
      <c r="N31" s="92">
        <f t="shared" ca="1" si="2"/>
        <v>0</v>
      </c>
      <c r="O31" s="93">
        <f t="shared" ca="1" si="2"/>
        <v>0</v>
      </c>
      <c r="P31" s="93">
        <f t="shared" ca="1" si="2"/>
        <v>0</v>
      </c>
      <c r="Q31" s="93">
        <f t="shared" ca="1" si="2"/>
        <v>0</v>
      </c>
      <c r="R31" s="93">
        <f t="shared" ca="1" si="2"/>
        <v>0</v>
      </c>
      <c r="S31" s="93">
        <f t="shared" ca="1" si="2"/>
        <v>0</v>
      </c>
      <c r="T31" s="93">
        <f t="shared" ca="1" si="2"/>
        <v>0</v>
      </c>
      <c r="U31" s="93">
        <f t="shared" ca="1" si="2"/>
        <v>0</v>
      </c>
      <c r="V31" s="93">
        <f t="shared" ca="1" si="2"/>
        <v>0</v>
      </c>
      <c r="W31" s="93">
        <f t="shared" ca="1" si="2"/>
        <v>0</v>
      </c>
      <c r="X31" s="93">
        <f t="shared" ca="1" si="2"/>
        <v>0</v>
      </c>
      <c r="Y31" s="93">
        <f t="shared" ca="1" si="2"/>
        <v>0</v>
      </c>
      <c r="Z31" s="93">
        <f t="shared" ca="1" si="2"/>
        <v>0</v>
      </c>
      <c r="AA31" s="92">
        <f t="shared" ca="1" si="2"/>
        <v>0</v>
      </c>
      <c r="AB31" s="92">
        <f t="shared" ca="1" si="2"/>
        <v>0</v>
      </c>
      <c r="AC31" s="92">
        <f t="shared" ca="1" si="2"/>
        <v>0</v>
      </c>
      <c r="AD31" s="92">
        <f t="shared" ca="1" si="2"/>
        <v>0</v>
      </c>
      <c r="AE31" s="92">
        <f t="shared" ca="1" si="2"/>
        <v>0</v>
      </c>
      <c r="AF31" s="92">
        <f t="shared" ca="1" si="2"/>
        <v>0</v>
      </c>
      <c r="AG31" s="92">
        <f t="shared" ca="1" si="2"/>
        <v>0</v>
      </c>
      <c r="AH31" s="92">
        <f t="shared" ca="1" si="2"/>
        <v>0</v>
      </c>
      <c r="AI31" s="92">
        <f t="shared" ca="1" si="2"/>
        <v>0</v>
      </c>
      <c r="AJ31" s="92">
        <f t="shared" ca="1" si="2"/>
        <v>0</v>
      </c>
      <c r="AK31" s="92">
        <f t="shared" ca="1" si="2"/>
        <v>0</v>
      </c>
      <c r="AL31" s="92">
        <f t="shared" ca="1" si="2"/>
        <v>0</v>
      </c>
    </row>
    <row r="32" spans="1:38" ht="48">
      <c r="A32" s="18" t="s">
        <v>202</v>
      </c>
      <c r="B32" s="95" t="s">
        <v>203</v>
      </c>
    </row>
    <row r="33" spans="1:38" outlineLevel="1">
      <c r="A33" t="s">
        <v>24</v>
      </c>
      <c r="B33" s="81">
        <f>VLOOKUP(A33,DATOS!$E$2:$F$15,2,FALSE)</f>
        <v>0.25</v>
      </c>
      <c r="C33" s="88">
        <f t="shared" ref="C33:C42" ca="1" si="3">(C19*$B33)/12</f>
        <v>0</v>
      </c>
      <c r="D33" s="88">
        <f ca="1">IF(SUM($C33:C33)&gt;D19-1,0,(D19*$B33)/12)</f>
        <v>0</v>
      </c>
      <c r="E33" s="88">
        <f ca="1">IF(SUM($C33:D33)&gt;E19-1,0,(E19*$B33)/12)</f>
        <v>0</v>
      </c>
      <c r="F33" s="88">
        <f ca="1">IF(SUM($C33:E33)&gt;F19-1,0,(F19*$B33)/12)</f>
        <v>0</v>
      </c>
      <c r="G33" s="88">
        <f ca="1">IF(SUM($C33:F33)&gt;G19-1,0,(G19*$B33)/12)</f>
        <v>0</v>
      </c>
      <c r="H33" s="88">
        <f ca="1">IF(SUM($C33:G33)&gt;H19-1,0,(H19*$B33)/12)</f>
        <v>0</v>
      </c>
      <c r="I33" s="88">
        <f ca="1">IF(SUM($C33:H33)&gt;I19-1,0,(I19*$B33)/12)</f>
        <v>0</v>
      </c>
      <c r="J33" s="88">
        <f ca="1">IF(SUM($C33:I33)&gt;J19-1,0,(J19*$B33)/12)</f>
        <v>0</v>
      </c>
      <c r="K33" s="88">
        <f ca="1">IF(SUM($C33:J33)&gt;K19-1,0,(K19*$B33)/12)</f>
        <v>0</v>
      </c>
      <c r="L33" s="88">
        <f ca="1">IF(SUM($C33:K33)&gt;L19-1,0,(L19*$B33)/12)</f>
        <v>0</v>
      </c>
      <c r="M33" s="88">
        <f ca="1">IF(SUM($C33:L33)&gt;M19-1,0,(M19*$B33)/12)</f>
        <v>0</v>
      </c>
      <c r="N33" s="88">
        <f ca="1">IF(SUM($C33:M33)&gt;N19-1,0,(N19*$B33)/12)</f>
        <v>0</v>
      </c>
      <c r="O33" s="89">
        <f ca="1">IF(SUM($C33:N33)&gt;O19-1,0,(O19*$B33)/12)</f>
        <v>0</v>
      </c>
      <c r="P33" s="89">
        <f ca="1">IF(SUM($C33:O33)&gt;P19-1,0,(P19*$B33)/12)</f>
        <v>0</v>
      </c>
      <c r="Q33" s="89">
        <f ca="1">IF(SUM($C33:P33)&gt;Q19-1,0,(Q19*$B33)/12)</f>
        <v>0</v>
      </c>
      <c r="R33" s="89">
        <f ca="1">IF(SUM($C33:Q33)&gt;R19-1,0,(R19*$B33)/12)</f>
        <v>0</v>
      </c>
      <c r="S33" s="89">
        <f ca="1">IF(SUM($C33:R33)&gt;S19-1,0,(S19*$B33)/12)</f>
        <v>0</v>
      </c>
      <c r="T33" s="89">
        <f ca="1">IF(SUM($C33:S33)&gt;T19-1,0,(T19*$B33)/12)</f>
        <v>0</v>
      </c>
      <c r="U33" s="89">
        <f ca="1">IF(SUM($C33:T33)&gt;U19-1,0,(U19*$B33)/12)</f>
        <v>0</v>
      </c>
      <c r="V33" s="89">
        <f ca="1">IF(SUM($C33:U33)&gt;V19-1,0,(V19*$B33)/12)</f>
        <v>0</v>
      </c>
      <c r="W33" s="89">
        <f ca="1">IF(SUM($C33:V33)&gt;W19-1,0,(W19*$B33)/12)</f>
        <v>0</v>
      </c>
      <c r="X33" s="89">
        <f ca="1">IF(SUM($C33:W33)&gt;X19-1,0,(X19*$B33)/12)</f>
        <v>0</v>
      </c>
      <c r="Y33" s="89">
        <f ca="1">IF(SUM($C33:X33)&gt;Y19-1,0,(Y19*$B33)/12)</f>
        <v>0</v>
      </c>
      <c r="Z33" s="89">
        <f ca="1">IF(SUM($C33:Y33)&gt;Z19-1,0,(Z19*$B33)/12)</f>
        <v>0</v>
      </c>
      <c r="AA33" s="88">
        <f ca="1">IF(SUM($C33:Z33)&gt;AA19-1,0,(AA19*$B33)/12)</f>
        <v>0</v>
      </c>
      <c r="AB33" s="88">
        <f ca="1">IF(SUM($C33:AA33)&gt;AB19-1,0,(AB19*$B33)/12)</f>
        <v>0</v>
      </c>
      <c r="AC33" s="88">
        <f ca="1">IF(SUM($C33:AB33)&gt;AC19-1,0,(AC19*$B33)/12)</f>
        <v>0</v>
      </c>
      <c r="AD33" s="88">
        <f ca="1">IF(SUM($C33:AC33)&gt;AD19-1,0,(AD19*$B33)/12)</f>
        <v>0</v>
      </c>
      <c r="AE33" s="88">
        <f ca="1">IF(SUM($C33:AD33)&gt;AE19-1,0,(AE19*$B33)/12)</f>
        <v>0</v>
      </c>
      <c r="AF33" s="88">
        <f ca="1">IF(SUM($C33:AE33)&gt;AF19-1,0,(AF19*$B33)/12)</f>
        <v>0</v>
      </c>
      <c r="AG33" s="88">
        <f ca="1">IF(SUM($C33:AF33)&gt;AG19-1,0,(AG19*$B33)/12)</f>
        <v>0</v>
      </c>
      <c r="AH33" s="88">
        <f ca="1">IF(SUM($C33:AG33)&gt;AH19-1,0,(AH19*$B33)/12)</f>
        <v>0</v>
      </c>
      <c r="AI33" s="88">
        <f ca="1">IF(SUM($C33:AH33)&gt;AI19-1,0,(AI19*$B33)/12)</f>
        <v>0</v>
      </c>
      <c r="AJ33" s="88">
        <f ca="1">IF(SUM($C33:AI33)&gt;AJ19-1,0,(AJ19*$B33)/12)</f>
        <v>0</v>
      </c>
      <c r="AK33" s="88">
        <f ca="1">IF(SUM($C33:AJ33)&gt;AK19-1,0,(AK19*$B33)/12)</f>
        <v>0</v>
      </c>
      <c r="AL33" s="88">
        <f ca="1">IF(SUM($C33:AK33)&gt;AL19-1,0,(AL19*$B33)/12)</f>
        <v>0</v>
      </c>
    </row>
    <row r="34" spans="1:38" outlineLevel="1">
      <c r="A34" t="s">
        <v>25</v>
      </c>
      <c r="B34" s="81">
        <f>VLOOKUP(A34,DATOS!$E$2:$F$15,2,FALSE)</f>
        <v>0.25</v>
      </c>
      <c r="C34" s="88">
        <f t="shared" ca="1" si="3"/>
        <v>0</v>
      </c>
      <c r="D34" s="88">
        <f ca="1">IF(SUM($C34:C34)&gt;D20-1,0,(D20*$B34)/12)</f>
        <v>0</v>
      </c>
      <c r="E34" s="88">
        <f ca="1">IF(SUM($C34:D34)&gt;E20-1,0,(E20*$B34)/12)</f>
        <v>0</v>
      </c>
      <c r="F34" s="88">
        <f ca="1">IF(SUM($C34:E34)&gt;F20-1,0,(F20*$B34)/12)</f>
        <v>0</v>
      </c>
      <c r="G34" s="88">
        <f ca="1">IF(SUM($C34:F34)&gt;G20-1,0,(G20*$B34)/12)</f>
        <v>0</v>
      </c>
      <c r="H34" s="88">
        <f ca="1">IF(SUM($C34:G34)&gt;H20-1,0,(H20*$B34)/12)</f>
        <v>0</v>
      </c>
      <c r="I34" s="88">
        <f ca="1">IF(SUM($C34:H34)&gt;I20-1,0,(I20*$B34)/12)</f>
        <v>0</v>
      </c>
      <c r="J34" s="88">
        <f ca="1">IF(SUM($C34:I34)&gt;J20-1,0,(J20*$B34)/12)</f>
        <v>0</v>
      </c>
      <c r="K34" s="88">
        <f ca="1">IF(SUM($C34:J34)&gt;K20-1,0,(K20*$B34)/12)</f>
        <v>0</v>
      </c>
      <c r="L34" s="88">
        <f ca="1">IF(SUM($C34:K34)&gt;L20-1,0,(L20*$B34)/12)</f>
        <v>0</v>
      </c>
      <c r="M34" s="88">
        <f ca="1">IF(SUM($C34:L34)&gt;M20-1,0,(M20*$B34)/12)</f>
        <v>0</v>
      </c>
      <c r="N34" s="88">
        <f ca="1">IF(SUM($C34:M34)&gt;N20-1,0,(N20*$B34)/12)</f>
        <v>0</v>
      </c>
      <c r="O34" s="89">
        <f ca="1">IF(SUM($C34:N34)&gt;O20-1,0,(O20*$B34)/12)</f>
        <v>0</v>
      </c>
      <c r="P34" s="89">
        <f ca="1">IF(SUM($C34:O34)&gt;P20-1,0,(P20*$B34)/12)</f>
        <v>0</v>
      </c>
      <c r="Q34" s="89">
        <f ca="1">IF(SUM($C34:P34)&gt;Q20-1,0,(Q20*$B34)/12)</f>
        <v>0</v>
      </c>
      <c r="R34" s="89">
        <f ca="1">IF(SUM($C34:Q34)&gt;R20-1,0,(R20*$B34)/12)</f>
        <v>0</v>
      </c>
      <c r="S34" s="89">
        <f ca="1">IF(SUM($C34:R34)&gt;S20-1,0,(S20*$B34)/12)</f>
        <v>0</v>
      </c>
      <c r="T34" s="89">
        <f ca="1">IF(SUM($C34:S34)&gt;T20-1,0,(T20*$B34)/12)</f>
        <v>0</v>
      </c>
      <c r="U34" s="89">
        <f ca="1">IF(SUM($C34:T34)&gt;U20-1,0,(U20*$B34)/12)</f>
        <v>0</v>
      </c>
      <c r="V34" s="89">
        <f ca="1">IF(SUM($C34:U34)&gt;V20-1,0,(V20*$B34)/12)</f>
        <v>0</v>
      </c>
      <c r="W34" s="89">
        <f ca="1">IF(SUM($C34:V34)&gt;W20-1,0,(W20*$B34)/12)</f>
        <v>0</v>
      </c>
      <c r="X34" s="89">
        <f ca="1">IF(SUM($C34:W34)&gt;X20-1,0,(X20*$B34)/12)</f>
        <v>0</v>
      </c>
      <c r="Y34" s="89">
        <f ca="1">IF(SUM($C34:X34)&gt;Y20-1,0,(Y20*$B34)/12)</f>
        <v>0</v>
      </c>
      <c r="Z34" s="89">
        <f ca="1">IF(SUM($C34:Y34)&gt;Z20-1,0,(Z20*$B34)/12)</f>
        <v>0</v>
      </c>
      <c r="AA34" s="88">
        <f ca="1">IF(SUM($C34:Z34)&gt;AA20-1,0,(AA20*$B34)/12)</f>
        <v>0</v>
      </c>
      <c r="AB34" s="88">
        <f ca="1">IF(SUM($C34:AA34)&gt;AB20-1,0,(AB20*$B34)/12)</f>
        <v>0</v>
      </c>
      <c r="AC34" s="88">
        <f ca="1">IF(SUM($C34:AB34)&gt;AC20-1,0,(AC20*$B34)/12)</f>
        <v>0</v>
      </c>
      <c r="AD34" s="88">
        <f ca="1">IF(SUM($C34:AC34)&gt;AD20-1,0,(AD20*$B34)/12)</f>
        <v>0</v>
      </c>
      <c r="AE34" s="88">
        <f ca="1">IF(SUM($C34:AD34)&gt;AE20-1,0,(AE20*$B34)/12)</f>
        <v>0</v>
      </c>
      <c r="AF34" s="88">
        <f ca="1">IF(SUM($C34:AE34)&gt;AF20-1,0,(AF20*$B34)/12)</f>
        <v>0</v>
      </c>
      <c r="AG34" s="88">
        <f ca="1">IF(SUM($C34:AF34)&gt;AG20-1,0,(AG20*$B34)/12)</f>
        <v>0</v>
      </c>
      <c r="AH34" s="88">
        <f ca="1">IF(SUM($C34:AG34)&gt;AH20-1,0,(AH20*$B34)/12)</f>
        <v>0</v>
      </c>
      <c r="AI34" s="88">
        <f ca="1">IF(SUM($C34:AH34)&gt;AI20-1,0,(AI20*$B34)/12)</f>
        <v>0</v>
      </c>
      <c r="AJ34" s="88">
        <f ca="1">IF(SUM($C34:AI34)&gt;AJ20-1,0,(AJ20*$B34)/12)</f>
        <v>0</v>
      </c>
      <c r="AK34" s="88">
        <f ca="1">IF(SUM($C34:AJ34)&gt;AK20-1,0,(AK20*$B34)/12)</f>
        <v>0</v>
      </c>
      <c r="AL34" s="88">
        <f ca="1">IF(SUM($C34:AK34)&gt;AL20-1,0,(AL20*$B34)/12)</f>
        <v>0</v>
      </c>
    </row>
    <row r="35" spans="1:38" outlineLevel="1">
      <c r="A35" t="s">
        <v>26</v>
      </c>
      <c r="B35" s="81">
        <f>VLOOKUP(A35,DATOS!$E$2:$F$15,2,FALSE)</f>
        <v>0.2</v>
      </c>
      <c r="C35" s="88">
        <f t="shared" ca="1" si="3"/>
        <v>0</v>
      </c>
      <c r="D35" s="88">
        <f ca="1">IF(SUM($C35:C35)&gt;D21-1,0,(D21*$B35)/12)</f>
        <v>0</v>
      </c>
      <c r="E35" s="88">
        <f ca="1">IF(SUM($C35:D35)&gt;E21-1,0,(E21*$B35)/12)</f>
        <v>0</v>
      </c>
      <c r="F35" s="88">
        <f ca="1">IF(SUM($C35:E35)&gt;F21-1,0,(F21*$B35)/12)</f>
        <v>0</v>
      </c>
      <c r="G35" s="88">
        <f ca="1">IF(SUM($C35:F35)&gt;G21-1,0,(G21*$B35)/12)</f>
        <v>0</v>
      </c>
      <c r="H35" s="88">
        <f ca="1">IF(SUM($C35:G35)&gt;H21-1,0,(H21*$B35)/12)</f>
        <v>0</v>
      </c>
      <c r="I35" s="88">
        <f ca="1">IF(SUM($C35:H35)&gt;I21-1,0,(I21*$B35)/12)</f>
        <v>0</v>
      </c>
      <c r="J35" s="88">
        <f ca="1">IF(SUM($C35:I35)&gt;J21-1,0,(J21*$B35)/12)</f>
        <v>0</v>
      </c>
      <c r="K35" s="88">
        <f ca="1">IF(SUM($C35:J35)&gt;K21-1,0,(K21*$B35)/12)</f>
        <v>0</v>
      </c>
      <c r="L35" s="88">
        <f ca="1">IF(SUM($C35:K35)&gt;L21-1,0,(L21*$B35)/12)</f>
        <v>0</v>
      </c>
      <c r="M35" s="88">
        <f ca="1">IF(SUM($C35:L35)&gt;M21-1,0,(M21*$B35)/12)</f>
        <v>0</v>
      </c>
      <c r="N35" s="88">
        <f ca="1">IF(SUM($C35:M35)&gt;N21-1,0,(N21*$B35)/12)</f>
        <v>0</v>
      </c>
      <c r="O35" s="89">
        <f ca="1">IF(SUM($C35:N35)&gt;O21-1,0,(O21*$B35)/12)</f>
        <v>0</v>
      </c>
      <c r="P35" s="89">
        <f ca="1">IF(SUM($C35:O35)&gt;P21-1,0,(P21*$B35)/12)</f>
        <v>0</v>
      </c>
      <c r="Q35" s="89">
        <f ca="1">IF(SUM($C35:P35)&gt;Q21-1,0,(Q21*$B35)/12)</f>
        <v>0</v>
      </c>
      <c r="R35" s="89">
        <f ca="1">IF(SUM($C35:Q35)&gt;R21-1,0,(R21*$B35)/12)</f>
        <v>0</v>
      </c>
      <c r="S35" s="89">
        <f ca="1">IF(SUM($C35:R35)&gt;S21-1,0,(S21*$B35)/12)</f>
        <v>0</v>
      </c>
      <c r="T35" s="89">
        <f ca="1">IF(SUM($C35:S35)&gt;T21-1,0,(T21*$B35)/12)</f>
        <v>0</v>
      </c>
      <c r="U35" s="89">
        <f ca="1">IF(SUM($C35:T35)&gt;U21-1,0,(U21*$B35)/12)</f>
        <v>0</v>
      </c>
      <c r="V35" s="89">
        <f ca="1">IF(SUM($C35:U35)&gt;V21-1,0,(V21*$B35)/12)</f>
        <v>0</v>
      </c>
      <c r="W35" s="89">
        <f ca="1">IF(SUM($C35:V35)&gt;W21-1,0,(W21*$B35)/12)</f>
        <v>0</v>
      </c>
      <c r="X35" s="89">
        <f ca="1">IF(SUM($C35:W35)&gt;X21-1,0,(X21*$B35)/12)</f>
        <v>0</v>
      </c>
      <c r="Y35" s="89">
        <f ca="1">IF(SUM($C35:X35)&gt;Y21-1,0,(Y21*$B35)/12)</f>
        <v>0</v>
      </c>
      <c r="Z35" s="89">
        <f ca="1">IF(SUM($C35:Y35)&gt;Z21-1,0,(Z21*$B35)/12)</f>
        <v>0</v>
      </c>
      <c r="AA35" s="88">
        <f ca="1">IF(SUM($C35:Z35)&gt;AA21-1,0,(AA21*$B35)/12)</f>
        <v>0</v>
      </c>
      <c r="AB35" s="88">
        <f ca="1">IF(SUM($C35:AA35)&gt;AB21-1,0,(AB21*$B35)/12)</f>
        <v>0</v>
      </c>
      <c r="AC35" s="88">
        <f ca="1">IF(SUM($C35:AB35)&gt;AC21-1,0,(AC21*$B35)/12)</f>
        <v>0</v>
      </c>
      <c r="AD35" s="88">
        <f ca="1">IF(SUM($C35:AC35)&gt;AD21-1,0,(AD21*$B35)/12)</f>
        <v>0</v>
      </c>
      <c r="AE35" s="88">
        <f ca="1">IF(SUM($C35:AD35)&gt;AE21-1,0,(AE21*$B35)/12)</f>
        <v>0</v>
      </c>
      <c r="AF35" s="88">
        <f ca="1">IF(SUM($C35:AE35)&gt;AF21-1,0,(AF21*$B35)/12)</f>
        <v>0</v>
      </c>
      <c r="AG35" s="88">
        <f ca="1">IF(SUM($C35:AF35)&gt;AG21-1,0,(AG21*$B35)/12)</f>
        <v>0</v>
      </c>
      <c r="AH35" s="88">
        <f ca="1">IF(SUM($C35:AG35)&gt;AH21-1,0,(AH21*$B35)/12)</f>
        <v>0</v>
      </c>
      <c r="AI35" s="88">
        <f ca="1">IF(SUM($C35:AH35)&gt;AI21-1,0,(AI21*$B35)/12)</f>
        <v>0</v>
      </c>
      <c r="AJ35" s="88">
        <f ca="1">IF(SUM($C35:AI35)&gt;AJ21-1,0,(AJ21*$B35)/12)</f>
        <v>0</v>
      </c>
      <c r="AK35" s="88">
        <f ca="1">IF(SUM($C35:AJ35)&gt;AK21-1,0,(AK21*$B35)/12)</f>
        <v>0</v>
      </c>
      <c r="AL35" s="88">
        <f ca="1">IF(SUM($C35:AK35)&gt;AL21-1,0,(AL21*$B35)/12)</f>
        <v>0</v>
      </c>
    </row>
    <row r="36" spans="1:38" outlineLevel="1">
      <c r="A36" t="s">
        <v>27</v>
      </c>
      <c r="B36" s="81">
        <f>VLOOKUP(A36,DATOS!$E$2:$F$15,2,FALSE)</f>
        <v>0</v>
      </c>
      <c r="C36" s="88">
        <f t="shared" ca="1" si="3"/>
        <v>0</v>
      </c>
      <c r="D36" s="88">
        <f ca="1">IF(SUM($C36:C36)&gt;D22-1,0,(D22*$B36)/12)</f>
        <v>0</v>
      </c>
      <c r="E36" s="88">
        <f ca="1">IF(SUM($C36:D36)&gt;E22-1,0,(E22*$B36)/12)</f>
        <v>0</v>
      </c>
      <c r="F36" s="88">
        <f ca="1">IF(SUM($C36:E36)&gt;F22-1,0,(F22*$B36)/12)</f>
        <v>0</v>
      </c>
      <c r="G36" s="88">
        <f ca="1">IF(SUM($C36:F36)&gt;G22-1,0,(G22*$B36)/12)</f>
        <v>0</v>
      </c>
      <c r="H36" s="88">
        <f ca="1">IF(SUM($C36:G36)&gt;H22-1,0,(H22*$B36)/12)</f>
        <v>0</v>
      </c>
      <c r="I36" s="88">
        <f ca="1">IF(SUM($C36:H36)&gt;I22-1,0,(I22*$B36)/12)</f>
        <v>0</v>
      </c>
      <c r="J36" s="88">
        <f ca="1">IF(SUM($C36:I36)&gt;J22-1,0,(J22*$B36)/12)</f>
        <v>0</v>
      </c>
      <c r="K36" s="88">
        <f ca="1">IF(SUM($C36:J36)&gt;K22-1,0,(K22*$B36)/12)</f>
        <v>0</v>
      </c>
      <c r="L36" s="88">
        <f ca="1">IF(SUM($C36:K36)&gt;L22-1,0,(L22*$B36)/12)</f>
        <v>0</v>
      </c>
      <c r="M36" s="88">
        <f ca="1">IF(SUM($C36:L36)&gt;M22-1,0,(M22*$B36)/12)</f>
        <v>0</v>
      </c>
      <c r="N36" s="88">
        <f ca="1">IF(SUM($C36:M36)&gt;N22-1,0,(N22*$B36)/12)</f>
        <v>0</v>
      </c>
      <c r="O36" s="89">
        <f ca="1">IF(SUM($C36:N36)&gt;O22-1,0,(O22*$B36)/12)</f>
        <v>0</v>
      </c>
      <c r="P36" s="89">
        <f ca="1">IF(SUM($C36:O36)&gt;P22-1,0,(P22*$B36)/12)</f>
        <v>0</v>
      </c>
      <c r="Q36" s="89">
        <f ca="1">IF(SUM($C36:P36)&gt;Q22-1,0,(Q22*$B36)/12)</f>
        <v>0</v>
      </c>
      <c r="R36" s="89">
        <f ca="1">IF(SUM($C36:Q36)&gt;R22-1,0,(R22*$B36)/12)</f>
        <v>0</v>
      </c>
      <c r="S36" s="89">
        <f ca="1">IF(SUM($C36:R36)&gt;S22-1,0,(S22*$B36)/12)</f>
        <v>0</v>
      </c>
      <c r="T36" s="89">
        <f ca="1">IF(SUM($C36:S36)&gt;T22-1,0,(T22*$B36)/12)</f>
        <v>0</v>
      </c>
      <c r="U36" s="89">
        <f ca="1">IF(SUM($C36:T36)&gt;U22-1,0,(U22*$B36)/12)</f>
        <v>0</v>
      </c>
      <c r="V36" s="89">
        <f ca="1">IF(SUM($C36:U36)&gt;V22-1,0,(V22*$B36)/12)</f>
        <v>0</v>
      </c>
      <c r="W36" s="89">
        <f ca="1">IF(SUM($C36:V36)&gt;W22-1,0,(W22*$B36)/12)</f>
        <v>0</v>
      </c>
      <c r="X36" s="89">
        <f ca="1">IF(SUM($C36:W36)&gt;X22-1,0,(X22*$B36)/12)</f>
        <v>0</v>
      </c>
      <c r="Y36" s="89">
        <f ca="1">IF(SUM($C36:X36)&gt;Y22-1,0,(Y22*$B36)/12)</f>
        <v>0</v>
      </c>
      <c r="Z36" s="89">
        <f ca="1">IF(SUM($C36:Y36)&gt;Z22-1,0,(Z22*$B36)/12)</f>
        <v>0</v>
      </c>
      <c r="AA36" s="88">
        <f ca="1">IF(SUM($C36:Z36)&gt;AA22-1,0,(AA22*$B36)/12)</f>
        <v>0</v>
      </c>
      <c r="AB36" s="88">
        <f ca="1">IF(SUM($C36:AA36)&gt;AB22-1,0,(AB22*$B36)/12)</f>
        <v>0</v>
      </c>
      <c r="AC36" s="88">
        <f ca="1">IF(SUM($C36:AB36)&gt;AC22-1,0,(AC22*$B36)/12)</f>
        <v>0</v>
      </c>
      <c r="AD36" s="88">
        <f ca="1">IF(SUM($C36:AC36)&gt;AD22-1,0,(AD22*$B36)/12)</f>
        <v>0</v>
      </c>
      <c r="AE36" s="88">
        <f ca="1">IF(SUM($C36:AD36)&gt;AE22-1,0,(AE22*$B36)/12)</f>
        <v>0</v>
      </c>
      <c r="AF36" s="88">
        <f ca="1">IF(SUM($C36:AE36)&gt;AF22-1,0,(AF22*$B36)/12)</f>
        <v>0</v>
      </c>
      <c r="AG36" s="88">
        <f ca="1">IF(SUM($C36:AF36)&gt;AG22-1,0,(AG22*$B36)/12)</f>
        <v>0</v>
      </c>
      <c r="AH36" s="88">
        <f ca="1">IF(SUM($C36:AG36)&gt;AH22-1,0,(AH22*$B36)/12)</f>
        <v>0</v>
      </c>
      <c r="AI36" s="88">
        <f ca="1">IF(SUM($C36:AH36)&gt;AI22-1,0,(AI22*$B36)/12)</f>
        <v>0</v>
      </c>
      <c r="AJ36" s="88">
        <f ca="1">IF(SUM($C36:AI36)&gt;AJ22-1,0,(AJ22*$B36)/12)</f>
        <v>0</v>
      </c>
      <c r="AK36" s="88">
        <f ca="1">IF(SUM($C36:AJ36)&gt;AK22-1,0,(AK22*$B36)/12)</f>
        <v>0</v>
      </c>
      <c r="AL36" s="88">
        <f ca="1">IF(SUM($C36:AK36)&gt;AL22-1,0,(AL22*$B36)/12)</f>
        <v>0</v>
      </c>
    </row>
    <row r="37" spans="1:38" outlineLevel="1">
      <c r="A37" t="s">
        <v>28</v>
      </c>
      <c r="B37" s="81">
        <f>VLOOKUP(A37,DATOS!$E$2:$F$15,2,FALSE)</f>
        <v>0.05</v>
      </c>
      <c r="C37" s="88">
        <f t="shared" ca="1" si="3"/>
        <v>0</v>
      </c>
      <c r="D37" s="88">
        <f ca="1">IF(SUM($C37:C37)&gt;D23-1,0,(D23*$B37)/12)</f>
        <v>0</v>
      </c>
      <c r="E37" s="88">
        <f ca="1">IF(SUM($C37:D37)&gt;E23-1,0,(E23*$B37)/12)</f>
        <v>0</v>
      </c>
      <c r="F37" s="88">
        <f ca="1">IF(SUM($C37:E37)&gt;F23-1,0,(F23*$B37)/12)</f>
        <v>0</v>
      </c>
      <c r="G37" s="88">
        <f ca="1">IF(SUM($C37:F37)&gt;G23-1,0,(G23*$B37)/12)</f>
        <v>0</v>
      </c>
      <c r="H37" s="88">
        <f ca="1">IF(SUM($C37:G37)&gt;H23-1,0,(H23*$B37)/12)</f>
        <v>0</v>
      </c>
      <c r="I37" s="88">
        <f ca="1">IF(SUM($C37:H37)&gt;I23-1,0,(I23*$B37)/12)</f>
        <v>0</v>
      </c>
      <c r="J37" s="88">
        <f ca="1">IF(SUM($C37:I37)&gt;J23-1,0,(J23*$B37)/12)</f>
        <v>0</v>
      </c>
      <c r="K37" s="88">
        <f ca="1">IF(SUM($C37:J37)&gt;K23-1,0,(K23*$B37)/12)</f>
        <v>0</v>
      </c>
      <c r="L37" s="88">
        <f ca="1">IF(SUM($C37:K37)&gt;L23-1,0,(L23*$B37)/12)</f>
        <v>0</v>
      </c>
      <c r="M37" s="88">
        <f ca="1">IF(SUM($C37:L37)&gt;M23-1,0,(M23*$B37)/12)</f>
        <v>0</v>
      </c>
      <c r="N37" s="88">
        <f ca="1">IF(SUM($C37:M37)&gt;N23-1,0,(N23*$B37)/12)</f>
        <v>0</v>
      </c>
      <c r="O37" s="89">
        <f ca="1">IF(SUM($C37:N37)&gt;O23-1,0,(O23*$B37)/12)</f>
        <v>0</v>
      </c>
      <c r="P37" s="89">
        <f ca="1">IF(SUM($C37:O37)&gt;P23-1,0,(P23*$B37)/12)</f>
        <v>0</v>
      </c>
      <c r="Q37" s="89">
        <f ca="1">IF(SUM($C37:P37)&gt;Q23-1,0,(Q23*$B37)/12)</f>
        <v>0</v>
      </c>
      <c r="R37" s="89">
        <f ca="1">IF(SUM($C37:Q37)&gt;R23-1,0,(R23*$B37)/12)</f>
        <v>0</v>
      </c>
      <c r="S37" s="89">
        <f ca="1">IF(SUM($C37:R37)&gt;S23-1,0,(S23*$B37)/12)</f>
        <v>0</v>
      </c>
      <c r="T37" s="89">
        <f ca="1">IF(SUM($C37:S37)&gt;T23-1,0,(T23*$B37)/12)</f>
        <v>0</v>
      </c>
      <c r="U37" s="89">
        <f ca="1">IF(SUM($C37:T37)&gt;U23-1,0,(U23*$B37)/12)</f>
        <v>0</v>
      </c>
      <c r="V37" s="89">
        <f ca="1">IF(SUM($C37:U37)&gt;V23-1,0,(V23*$B37)/12)</f>
        <v>0</v>
      </c>
      <c r="W37" s="89">
        <f ca="1">IF(SUM($C37:V37)&gt;W23-1,0,(W23*$B37)/12)</f>
        <v>0</v>
      </c>
      <c r="X37" s="89">
        <f ca="1">IF(SUM($C37:W37)&gt;X23-1,0,(X23*$B37)/12)</f>
        <v>0</v>
      </c>
      <c r="Y37" s="89">
        <f ca="1">IF(SUM($C37:X37)&gt;Y23-1,0,(Y23*$B37)/12)</f>
        <v>0</v>
      </c>
      <c r="Z37" s="89">
        <f ca="1">IF(SUM($C37:Y37)&gt;Z23-1,0,(Z23*$B37)/12)</f>
        <v>0</v>
      </c>
      <c r="AA37" s="88">
        <f ca="1">IF(SUM($C37:Z37)&gt;AA23-1,0,(AA23*$B37)/12)</f>
        <v>0</v>
      </c>
      <c r="AB37" s="88">
        <f ca="1">IF(SUM($C37:AA37)&gt;AB23-1,0,(AB23*$B37)/12)</f>
        <v>0</v>
      </c>
      <c r="AC37" s="88">
        <f ca="1">IF(SUM($C37:AB37)&gt;AC23-1,0,(AC23*$B37)/12)</f>
        <v>0</v>
      </c>
      <c r="AD37" s="88">
        <f ca="1">IF(SUM($C37:AC37)&gt;AD23-1,0,(AD23*$B37)/12)</f>
        <v>0</v>
      </c>
      <c r="AE37" s="88">
        <f ca="1">IF(SUM($C37:AD37)&gt;AE23-1,0,(AE23*$B37)/12)</f>
        <v>0</v>
      </c>
      <c r="AF37" s="88">
        <f ca="1">IF(SUM($C37:AE37)&gt;AF23-1,0,(AF23*$B37)/12)</f>
        <v>0</v>
      </c>
      <c r="AG37" s="88">
        <f ca="1">IF(SUM($C37:AF37)&gt;AG23-1,0,(AG23*$B37)/12)</f>
        <v>0</v>
      </c>
      <c r="AH37" s="88">
        <f ca="1">IF(SUM($C37:AG37)&gt;AH23-1,0,(AH23*$B37)/12)</f>
        <v>0</v>
      </c>
      <c r="AI37" s="88">
        <f ca="1">IF(SUM($C37:AH37)&gt;AI23-1,0,(AI23*$B37)/12)</f>
        <v>0</v>
      </c>
      <c r="AJ37" s="88">
        <f ca="1">IF(SUM($C37:AI37)&gt;AJ23-1,0,(AJ23*$B37)/12)</f>
        <v>0</v>
      </c>
      <c r="AK37" s="88">
        <f ca="1">IF(SUM($C37:AJ37)&gt;AK23-1,0,(AK23*$B37)/12)</f>
        <v>0</v>
      </c>
      <c r="AL37" s="88">
        <f ca="1">IF(SUM($C37:AK37)&gt;AL23-1,0,(AL23*$B37)/12)</f>
        <v>0</v>
      </c>
    </row>
    <row r="38" spans="1:38" outlineLevel="1">
      <c r="A38" t="s">
        <v>29</v>
      </c>
      <c r="B38" s="81">
        <f>VLOOKUP(A38,DATOS!$E$2:$F$15,2,FALSE)</f>
        <v>0.08</v>
      </c>
      <c r="C38" s="88">
        <f t="shared" ca="1" si="3"/>
        <v>0</v>
      </c>
      <c r="D38" s="88">
        <f ca="1">IF(SUM($C38:C38)&gt;D24-1,0,(D24*$B38)/12)</f>
        <v>0</v>
      </c>
      <c r="E38" s="88">
        <f ca="1">IF(SUM($C38:D38)&gt;E24-1,0,(E24*$B38)/12)</f>
        <v>0</v>
      </c>
      <c r="F38" s="88">
        <f ca="1">IF(SUM($C38:E38)&gt;F24-1,0,(F24*$B38)/12)</f>
        <v>0</v>
      </c>
      <c r="G38" s="88">
        <f ca="1">IF(SUM($C38:F38)&gt;G24-1,0,(G24*$B38)/12)</f>
        <v>0</v>
      </c>
      <c r="H38" s="88">
        <f ca="1">IF(SUM($C38:G38)&gt;H24-1,0,(H24*$B38)/12)</f>
        <v>0</v>
      </c>
      <c r="I38" s="88">
        <f ca="1">IF(SUM($C38:H38)&gt;I24-1,0,(I24*$B38)/12)</f>
        <v>0</v>
      </c>
      <c r="J38" s="88">
        <f ca="1">IF(SUM($C38:I38)&gt;J24-1,0,(J24*$B38)/12)</f>
        <v>0</v>
      </c>
      <c r="K38" s="88">
        <f ca="1">IF(SUM($C38:J38)&gt;K24-1,0,(K24*$B38)/12)</f>
        <v>0</v>
      </c>
      <c r="L38" s="88">
        <f ca="1">IF(SUM($C38:K38)&gt;L24-1,0,(L24*$B38)/12)</f>
        <v>0</v>
      </c>
      <c r="M38" s="88">
        <f ca="1">IF(SUM($C38:L38)&gt;M24-1,0,(M24*$B38)/12)</f>
        <v>0</v>
      </c>
      <c r="N38" s="88">
        <f ca="1">IF(SUM($C38:M38)&gt;N24-1,0,(N24*$B38)/12)</f>
        <v>0</v>
      </c>
      <c r="O38" s="89">
        <f ca="1">IF(SUM($C38:N38)&gt;O24-1,0,(O24*$B38)/12)</f>
        <v>0</v>
      </c>
      <c r="P38" s="89">
        <f ca="1">IF(SUM($C38:O38)&gt;P24-1,0,(P24*$B38)/12)</f>
        <v>0</v>
      </c>
      <c r="Q38" s="89">
        <f ca="1">IF(SUM($C38:P38)&gt;Q24-1,0,(Q24*$B38)/12)</f>
        <v>0</v>
      </c>
      <c r="R38" s="89">
        <f ca="1">IF(SUM($C38:Q38)&gt;R24-1,0,(R24*$B38)/12)</f>
        <v>0</v>
      </c>
      <c r="S38" s="89">
        <f ca="1">IF(SUM($C38:R38)&gt;S24-1,0,(S24*$B38)/12)</f>
        <v>0</v>
      </c>
      <c r="T38" s="89">
        <f ca="1">IF(SUM($C38:S38)&gt;T24-1,0,(T24*$B38)/12)</f>
        <v>0</v>
      </c>
      <c r="U38" s="89">
        <f ca="1">IF(SUM($C38:T38)&gt;U24-1,0,(U24*$B38)/12)</f>
        <v>0</v>
      </c>
      <c r="V38" s="89">
        <f ca="1">IF(SUM($C38:U38)&gt;V24-1,0,(V24*$B38)/12)</f>
        <v>0</v>
      </c>
      <c r="W38" s="89">
        <f ca="1">IF(SUM($C38:V38)&gt;W24-1,0,(W24*$B38)/12)</f>
        <v>0</v>
      </c>
      <c r="X38" s="89">
        <f ca="1">IF(SUM($C38:W38)&gt;X24-1,0,(X24*$B38)/12)</f>
        <v>0</v>
      </c>
      <c r="Y38" s="89">
        <f ca="1">IF(SUM($C38:X38)&gt;Y24-1,0,(Y24*$B38)/12)</f>
        <v>0</v>
      </c>
      <c r="Z38" s="89">
        <f ca="1">IF(SUM($C38:Y38)&gt;Z24-1,0,(Z24*$B38)/12)</f>
        <v>0</v>
      </c>
      <c r="AA38" s="88">
        <f ca="1">IF(SUM($C38:Z38)&gt;AA24-1,0,(AA24*$B38)/12)</f>
        <v>0</v>
      </c>
      <c r="AB38" s="88">
        <f ca="1">IF(SUM($C38:AA38)&gt;AB24-1,0,(AB24*$B38)/12)</f>
        <v>0</v>
      </c>
      <c r="AC38" s="88">
        <f ca="1">IF(SUM($C38:AB38)&gt;AC24-1,0,(AC24*$B38)/12)</f>
        <v>0</v>
      </c>
      <c r="AD38" s="88">
        <f ca="1">IF(SUM($C38:AC38)&gt;AD24-1,0,(AD24*$B38)/12)</f>
        <v>0</v>
      </c>
      <c r="AE38" s="88">
        <f ca="1">IF(SUM($C38:AD38)&gt;AE24-1,0,(AE24*$B38)/12)</f>
        <v>0</v>
      </c>
      <c r="AF38" s="88">
        <f ca="1">IF(SUM($C38:AE38)&gt;AF24-1,0,(AF24*$B38)/12)</f>
        <v>0</v>
      </c>
      <c r="AG38" s="88">
        <f ca="1">IF(SUM($C38:AF38)&gt;AG24-1,0,(AG24*$B38)/12)</f>
        <v>0</v>
      </c>
      <c r="AH38" s="88">
        <f ca="1">IF(SUM($C38:AG38)&gt;AH24-1,0,(AH24*$B38)/12)</f>
        <v>0</v>
      </c>
      <c r="AI38" s="88">
        <f ca="1">IF(SUM($C38:AH38)&gt;AI24-1,0,(AI24*$B38)/12)</f>
        <v>0</v>
      </c>
      <c r="AJ38" s="88">
        <f ca="1">IF(SUM($C38:AI38)&gt;AJ24-1,0,(AJ24*$B38)/12)</f>
        <v>0</v>
      </c>
      <c r="AK38" s="88">
        <f ca="1">IF(SUM($C38:AJ38)&gt;AK24-1,0,(AK24*$B38)/12)</f>
        <v>0</v>
      </c>
      <c r="AL38" s="88">
        <f ca="1">IF(SUM($C38:AK38)&gt;AL24-1,0,(AL24*$B38)/12)</f>
        <v>0</v>
      </c>
    </row>
    <row r="39" spans="1:38" outlineLevel="1">
      <c r="A39" t="s">
        <v>30</v>
      </c>
      <c r="B39" s="81">
        <f>VLOOKUP(A39,DATOS!$E$2:$F$15,2,FALSE)</f>
        <v>0.2</v>
      </c>
      <c r="C39" s="88">
        <f t="shared" ca="1" si="3"/>
        <v>0</v>
      </c>
      <c r="D39" s="88">
        <f ca="1">IF(SUM($C39:C39)&gt;D25-1,0,(D25*$B39)/12)</f>
        <v>0</v>
      </c>
      <c r="E39" s="88">
        <f ca="1">IF(SUM($C39:D39)&gt;E25-1,0,(E25*$B39)/12)</f>
        <v>0</v>
      </c>
      <c r="F39" s="88">
        <f ca="1">IF(SUM($C39:E39)&gt;F25-1,0,(F25*$B39)/12)</f>
        <v>0</v>
      </c>
      <c r="G39" s="88">
        <f ca="1">IF(SUM($C39:F39)&gt;G25-1,0,(G25*$B39)/12)</f>
        <v>0</v>
      </c>
      <c r="H39" s="88">
        <f ca="1">IF(SUM($C39:G39)&gt;H25-1,0,(H25*$B39)/12)</f>
        <v>0</v>
      </c>
      <c r="I39" s="88">
        <f ca="1">IF(SUM($C39:H39)&gt;I25-1,0,(I25*$B39)/12)</f>
        <v>0</v>
      </c>
      <c r="J39" s="88">
        <f ca="1">IF(SUM($C39:I39)&gt;J25-1,0,(J25*$B39)/12)</f>
        <v>0</v>
      </c>
      <c r="K39" s="88">
        <f ca="1">IF(SUM($C39:J39)&gt;K25-1,0,(K25*$B39)/12)</f>
        <v>0</v>
      </c>
      <c r="L39" s="88">
        <f ca="1">IF(SUM($C39:K39)&gt;L25-1,0,(L25*$B39)/12)</f>
        <v>0</v>
      </c>
      <c r="M39" s="88">
        <f ca="1">IF(SUM($C39:L39)&gt;M25-1,0,(M25*$B39)/12)</f>
        <v>0</v>
      </c>
      <c r="N39" s="88">
        <f ca="1">IF(SUM($C39:M39)&gt;N25-1,0,(N25*$B39)/12)</f>
        <v>0</v>
      </c>
      <c r="O39" s="89">
        <f ca="1">IF(SUM($C39:N39)&gt;O25-1,0,(O25*$B39)/12)</f>
        <v>0</v>
      </c>
      <c r="P39" s="89">
        <f ca="1">IF(SUM($C39:O39)&gt;P25-1,0,(P25*$B39)/12)</f>
        <v>0</v>
      </c>
      <c r="Q39" s="89">
        <f ca="1">IF(SUM($C39:P39)&gt;Q25-1,0,(Q25*$B39)/12)</f>
        <v>0</v>
      </c>
      <c r="R39" s="89">
        <f ca="1">IF(SUM($C39:Q39)&gt;R25-1,0,(R25*$B39)/12)</f>
        <v>0</v>
      </c>
      <c r="S39" s="89">
        <f ca="1">IF(SUM($C39:R39)&gt;S25-1,0,(S25*$B39)/12)</f>
        <v>0</v>
      </c>
      <c r="T39" s="89">
        <f ca="1">IF(SUM($C39:S39)&gt;T25-1,0,(T25*$B39)/12)</f>
        <v>0</v>
      </c>
      <c r="U39" s="89">
        <f ca="1">IF(SUM($C39:T39)&gt;U25-1,0,(U25*$B39)/12)</f>
        <v>0</v>
      </c>
      <c r="V39" s="89">
        <f ca="1">IF(SUM($C39:U39)&gt;V25-1,0,(V25*$B39)/12)</f>
        <v>0</v>
      </c>
      <c r="W39" s="89">
        <f ca="1">IF(SUM($C39:V39)&gt;W25-1,0,(W25*$B39)/12)</f>
        <v>0</v>
      </c>
      <c r="X39" s="89">
        <f ca="1">IF(SUM($C39:W39)&gt;X25-1,0,(X25*$B39)/12)</f>
        <v>0</v>
      </c>
      <c r="Y39" s="89">
        <f ca="1">IF(SUM($C39:X39)&gt;Y25-1,0,(Y25*$B39)/12)</f>
        <v>0</v>
      </c>
      <c r="Z39" s="89">
        <f ca="1">IF(SUM($C39:Y39)&gt;Z25-1,0,(Z25*$B39)/12)</f>
        <v>0</v>
      </c>
      <c r="AA39" s="88">
        <f ca="1">IF(SUM($C39:Z39)&gt;AA25-1,0,(AA25*$B39)/12)</f>
        <v>0</v>
      </c>
      <c r="AB39" s="88">
        <f ca="1">IF(SUM($C39:AA39)&gt;AB25-1,0,(AB25*$B39)/12)</f>
        <v>0</v>
      </c>
      <c r="AC39" s="88">
        <f ca="1">IF(SUM($C39:AB39)&gt;AC25-1,0,(AC25*$B39)/12)</f>
        <v>0</v>
      </c>
      <c r="AD39" s="88">
        <f ca="1">IF(SUM($C39:AC39)&gt;AD25-1,0,(AD25*$B39)/12)</f>
        <v>0</v>
      </c>
      <c r="AE39" s="88">
        <f ca="1">IF(SUM($C39:AD39)&gt;AE25-1,0,(AE25*$B39)/12)</f>
        <v>0</v>
      </c>
      <c r="AF39" s="88">
        <f ca="1">IF(SUM($C39:AE39)&gt;AF25-1,0,(AF25*$B39)/12)</f>
        <v>0</v>
      </c>
      <c r="AG39" s="88">
        <f ca="1">IF(SUM($C39:AF39)&gt;AG25-1,0,(AG25*$B39)/12)</f>
        <v>0</v>
      </c>
      <c r="AH39" s="88">
        <f ca="1">IF(SUM($C39:AG39)&gt;AH25-1,0,(AH25*$B39)/12)</f>
        <v>0</v>
      </c>
      <c r="AI39" s="88">
        <f ca="1">IF(SUM($C39:AH39)&gt;AI25-1,0,(AI25*$B39)/12)</f>
        <v>0</v>
      </c>
      <c r="AJ39" s="88">
        <f ca="1">IF(SUM($C39:AI39)&gt;AJ25-1,0,(AJ25*$B39)/12)</f>
        <v>0</v>
      </c>
      <c r="AK39" s="88">
        <f ca="1">IF(SUM($C39:AJ39)&gt;AK25-1,0,(AK25*$B39)/12)</f>
        <v>0</v>
      </c>
      <c r="AL39" s="88">
        <f ca="1">IF(SUM($C39:AK39)&gt;AL25-1,0,(AL25*$B39)/12)</f>
        <v>0</v>
      </c>
    </row>
    <row r="40" spans="1:38" outlineLevel="1">
      <c r="A40" t="s">
        <v>31</v>
      </c>
      <c r="B40" s="81">
        <f>VLOOKUP(A40,DATOS!$E$2:$F$15,2,FALSE)</f>
        <v>0.2</v>
      </c>
      <c r="C40" s="88">
        <f t="shared" ca="1" si="3"/>
        <v>0</v>
      </c>
      <c r="D40" s="88">
        <f ca="1">IF(SUM($C40:C40)&gt;D26-1,0,(D26*$B40)/12)</f>
        <v>0</v>
      </c>
      <c r="E40" s="88">
        <f ca="1">IF(SUM($C40:D40)&gt;E26-1,0,(E26*$B40)/12)</f>
        <v>0</v>
      </c>
      <c r="F40" s="88">
        <f ca="1">IF(SUM($C40:E40)&gt;F26-1,0,(F26*$B40)/12)</f>
        <v>0</v>
      </c>
      <c r="G40" s="88">
        <f ca="1">IF(SUM($C40:F40)&gt;G26-1,0,(G26*$B40)/12)</f>
        <v>0</v>
      </c>
      <c r="H40" s="88">
        <f ca="1">IF(SUM($C40:G40)&gt;H26-1,0,(H26*$B40)/12)</f>
        <v>0</v>
      </c>
      <c r="I40" s="88">
        <f ca="1">IF(SUM($C40:H40)&gt;I26-1,0,(I26*$B40)/12)</f>
        <v>0</v>
      </c>
      <c r="J40" s="88">
        <f ca="1">IF(SUM($C40:I40)&gt;J26-1,0,(J26*$B40)/12)</f>
        <v>0</v>
      </c>
      <c r="K40" s="88">
        <f ca="1">IF(SUM($C40:J40)&gt;K26-1,0,(K26*$B40)/12)</f>
        <v>0</v>
      </c>
      <c r="L40" s="88">
        <f ca="1">IF(SUM($C40:K40)&gt;L26-1,0,(L26*$B40)/12)</f>
        <v>0</v>
      </c>
      <c r="M40" s="88">
        <f ca="1">IF(SUM($C40:L40)&gt;M26-1,0,(M26*$B40)/12)</f>
        <v>0</v>
      </c>
      <c r="N40" s="88">
        <f ca="1">IF(SUM($C40:M40)&gt;N26-1,0,(N26*$B40)/12)</f>
        <v>0</v>
      </c>
      <c r="O40" s="89">
        <f ca="1">IF(SUM($C40:N40)&gt;O26-1,0,(O26*$B40)/12)</f>
        <v>0</v>
      </c>
      <c r="P40" s="89">
        <f ca="1">IF(SUM($C40:O40)&gt;P26-1,0,(P26*$B40)/12)</f>
        <v>0</v>
      </c>
      <c r="Q40" s="89">
        <f ca="1">IF(SUM($C40:P40)&gt;Q26-1,0,(Q26*$B40)/12)</f>
        <v>0</v>
      </c>
      <c r="R40" s="89">
        <f ca="1">IF(SUM($C40:Q40)&gt;R26-1,0,(R26*$B40)/12)</f>
        <v>0</v>
      </c>
      <c r="S40" s="89">
        <f ca="1">IF(SUM($C40:R40)&gt;S26-1,0,(S26*$B40)/12)</f>
        <v>0</v>
      </c>
      <c r="T40" s="89">
        <f ca="1">IF(SUM($C40:S40)&gt;T26-1,0,(T26*$B40)/12)</f>
        <v>0</v>
      </c>
      <c r="U40" s="89">
        <f ca="1">IF(SUM($C40:T40)&gt;U26-1,0,(U26*$B40)/12)</f>
        <v>0</v>
      </c>
      <c r="V40" s="89">
        <f ca="1">IF(SUM($C40:U40)&gt;V26-1,0,(V26*$B40)/12)</f>
        <v>0</v>
      </c>
      <c r="W40" s="89">
        <f ca="1">IF(SUM($C40:V40)&gt;W26-1,0,(W26*$B40)/12)</f>
        <v>0</v>
      </c>
      <c r="X40" s="89">
        <f ca="1">IF(SUM($C40:W40)&gt;X26-1,0,(X26*$B40)/12)</f>
        <v>0</v>
      </c>
      <c r="Y40" s="89">
        <f ca="1">IF(SUM($C40:X40)&gt;Y26-1,0,(Y26*$B40)/12)</f>
        <v>0</v>
      </c>
      <c r="Z40" s="89">
        <f ca="1">IF(SUM($C40:Y40)&gt;Z26-1,0,(Z26*$B40)/12)</f>
        <v>0</v>
      </c>
      <c r="AA40" s="88">
        <f ca="1">IF(SUM($C40:Z40)&gt;AA26-1,0,(AA26*$B40)/12)</f>
        <v>0</v>
      </c>
      <c r="AB40" s="88">
        <f ca="1">IF(SUM($C40:AA40)&gt;AB26-1,0,(AB26*$B40)/12)</f>
        <v>0</v>
      </c>
      <c r="AC40" s="88">
        <f ca="1">IF(SUM($C40:AB40)&gt;AC26-1,0,(AC26*$B40)/12)</f>
        <v>0</v>
      </c>
      <c r="AD40" s="88">
        <f ca="1">IF(SUM($C40:AC40)&gt;AD26-1,0,(AD26*$B40)/12)</f>
        <v>0</v>
      </c>
      <c r="AE40" s="88">
        <f ca="1">IF(SUM($C40:AD40)&gt;AE26-1,0,(AE26*$B40)/12)</f>
        <v>0</v>
      </c>
      <c r="AF40" s="88">
        <f ca="1">IF(SUM($C40:AE40)&gt;AF26-1,0,(AF26*$B40)/12)</f>
        <v>0</v>
      </c>
      <c r="AG40" s="88">
        <f ca="1">IF(SUM($C40:AF40)&gt;AG26-1,0,(AG26*$B40)/12)</f>
        <v>0</v>
      </c>
      <c r="AH40" s="88">
        <f ca="1">IF(SUM($C40:AG40)&gt;AH26-1,0,(AH26*$B40)/12)</f>
        <v>0</v>
      </c>
      <c r="AI40" s="88">
        <f ca="1">IF(SUM($C40:AH40)&gt;AI26-1,0,(AI26*$B40)/12)</f>
        <v>0</v>
      </c>
      <c r="AJ40" s="88">
        <f ca="1">IF(SUM($C40:AI40)&gt;AJ26-1,0,(AJ26*$B40)/12)</f>
        <v>0</v>
      </c>
      <c r="AK40" s="88">
        <f ca="1">IF(SUM($C40:AJ40)&gt;AK26-1,0,(AK26*$B40)/12)</f>
        <v>0</v>
      </c>
      <c r="AL40" s="88">
        <f ca="1">IF(SUM($C40:AK40)&gt;AL26-1,0,(AL26*$B40)/12)</f>
        <v>0</v>
      </c>
    </row>
    <row r="41" spans="1:38" outlineLevel="1">
      <c r="A41" t="s">
        <v>4</v>
      </c>
      <c r="B41" s="81">
        <f>VLOOKUP(A41,DATOS!$E$2:$F$15,2,FALSE)</f>
        <v>0.2</v>
      </c>
      <c r="C41" s="88">
        <f t="shared" ca="1" si="3"/>
        <v>0</v>
      </c>
      <c r="D41" s="88">
        <f ca="1">IF(SUM($C41:C41)&gt;D27-1,0,(D27*$B41)/12)</f>
        <v>0</v>
      </c>
      <c r="E41" s="88">
        <f ca="1">IF(SUM($C41:D41)&gt;E27-1,0,(E27*$B41)/12)</f>
        <v>0</v>
      </c>
      <c r="F41" s="88">
        <f ca="1">IF(SUM($C41:E41)&gt;F27-1,0,(F27*$B41)/12)</f>
        <v>0</v>
      </c>
      <c r="G41" s="88">
        <f ca="1">IF(SUM($C41:F41)&gt;G27-1,0,(G27*$B41)/12)</f>
        <v>0</v>
      </c>
      <c r="H41" s="88">
        <f ca="1">IF(SUM($C41:G41)&gt;H27-1,0,(H27*$B41)/12)</f>
        <v>0</v>
      </c>
      <c r="I41" s="88">
        <f ca="1">IF(SUM($C41:H41)&gt;I27-1,0,(I27*$B41)/12)</f>
        <v>0</v>
      </c>
      <c r="J41" s="88">
        <f ca="1">IF(SUM($C41:I41)&gt;J27-1,0,(J27*$B41)/12)</f>
        <v>0</v>
      </c>
      <c r="K41" s="88">
        <f ca="1">IF(SUM($C41:J41)&gt;K27-1,0,(K27*$B41)/12)</f>
        <v>0</v>
      </c>
      <c r="L41" s="88">
        <f ca="1">IF(SUM($C41:K41)&gt;L27-1,0,(L27*$B41)/12)</f>
        <v>0</v>
      </c>
      <c r="M41" s="88">
        <f ca="1">IF(SUM($C41:L41)&gt;M27-1,0,(M27*$B41)/12)</f>
        <v>0</v>
      </c>
      <c r="N41" s="88">
        <f ca="1">IF(SUM($C41:M41)&gt;N27-1,0,(N27*$B41)/12)</f>
        <v>0</v>
      </c>
      <c r="O41" s="89">
        <f ca="1">IF(SUM($C41:N41)&gt;O27-1,0,(O27*$B41)/12)</f>
        <v>0</v>
      </c>
      <c r="P41" s="89">
        <f ca="1">IF(SUM($C41:O41)&gt;P27-1,0,(P27*$B41)/12)</f>
        <v>0</v>
      </c>
      <c r="Q41" s="89">
        <f ca="1">IF(SUM($C41:P41)&gt;Q27-1,0,(Q27*$B41)/12)</f>
        <v>0</v>
      </c>
      <c r="R41" s="89">
        <f ca="1">IF(SUM($C41:Q41)&gt;R27-1,0,(R27*$B41)/12)</f>
        <v>0</v>
      </c>
      <c r="S41" s="89">
        <f ca="1">IF(SUM($C41:R41)&gt;S27-1,0,(S27*$B41)/12)</f>
        <v>0</v>
      </c>
      <c r="T41" s="89">
        <f ca="1">IF(SUM($C41:S41)&gt;T27-1,0,(T27*$B41)/12)</f>
        <v>0</v>
      </c>
      <c r="U41" s="89">
        <f ca="1">IF(SUM($C41:T41)&gt;U27-1,0,(U27*$B41)/12)</f>
        <v>0</v>
      </c>
      <c r="V41" s="89">
        <f ca="1">IF(SUM($C41:U41)&gt;V27-1,0,(V27*$B41)/12)</f>
        <v>0</v>
      </c>
      <c r="W41" s="89">
        <f ca="1">IF(SUM($C41:V41)&gt;W27-1,0,(W27*$B41)/12)</f>
        <v>0</v>
      </c>
      <c r="X41" s="89">
        <f ca="1">IF(SUM($C41:W41)&gt;X27-1,0,(X27*$B41)/12)</f>
        <v>0</v>
      </c>
      <c r="Y41" s="89">
        <f ca="1">IF(SUM($C41:X41)&gt;Y27-1,0,(Y27*$B41)/12)</f>
        <v>0</v>
      </c>
      <c r="Z41" s="89">
        <f ca="1">IF(SUM($C41:Y41)&gt;Z27-1,0,(Z27*$B41)/12)</f>
        <v>0</v>
      </c>
      <c r="AA41" s="88">
        <f ca="1">IF(SUM($C41:Z41)&gt;AA27-1,0,(AA27*$B41)/12)</f>
        <v>0</v>
      </c>
      <c r="AB41" s="88">
        <f ca="1">IF(SUM($C41:AA41)&gt;AB27-1,0,(AB27*$B41)/12)</f>
        <v>0</v>
      </c>
      <c r="AC41" s="88">
        <f ca="1">IF(SUM($C41:AB41)&gt;AC27-1,0,(AC27*$B41)/12)</f>
        <v>0</v>
      </c>
      <c r="AD41" s="88">
        <f ca="1">IF(SUM($C41:AC41)&gt;AD27-1,0,(AD27*$B41)/12)</f>
        <v>0</v>
      </c>
      <c r="AE41" s="88">
        <f ca="1">IF(SUM($C41:AD41)&gt;AE27-1,0,(AE27*$B41)/12)</f>
        <v>0</v>
      </c>
      <c r="AF41" s="88">
        <f ca="1">IF(SUM($C41:AE41)&gt;AF27-1,0,(AF27*$B41)/12)</f>
        <v>0</v>
      </c>
      <c r="AG41" s="88">
        <f ca="1">IF(SUM($C41:AF41)&gt;AG27-1,0,(AG27*$B41)/12)</f>
        <v>0</v>
      </c>
      <c r="AH41" s="88">
        <f ca="1">IF(SUM($C41:AG41)&gt;AH27-1,0,(AH27*$B41)/12)</f>
        <v>0</v>
      </c>
      <c r="AI41" s="88">
        <f ca="1">IF(SUM($C41:AH41)&gt;AI27-1,0,(AI27*$B41)/12)</f>
        <v>0</v>
      </c>
      <c r="AJ41" s="88">
        <f ca="1">IF(SUM($C41:AI41)&gt;AJ27-1,0,(AJ27*$B41)/12)</f>
        <v>0</v>
      </c>
      <c r="AK41" s="88">
        <f ca="1">IF(SUM($C41:AJ41)&gt;AK27-1,0,(AK27*$B41)/12)</f>
        <v>0</v>
      </c>
      <c r="AL41" s="88">
        <f ca="1">IF(SUM($C41:AK41)&gt;AL27-1,0,(AL27*$B41)/12)</f>
        <v>0</v>
      </c>
    </row>
    <row r="42" spans="1:38" outlineLevel="1">
      <c r="A42" t="s">
        <v>32</v>
      </c>
      <c r="B42" s="81">
        <f>VLOOKUP(A42,DATOS!$E$2:$F$15,2,FALSE)</f>
        <v>0.2</v>
      </c>
      <c r="C42" s="88">
        <f t="shared" ca="1" si="3"/>
        <v>0</v>
      </c>
      <c r="D42" s="88">
        <f ca="1">IF(SUM($C42:C42)&gt;D28-1,0,(D28*$B42)/12)</f>
        <v>0</v>
      </c>
      <c r="E42" s="88">
        <f ca="1">IF(SUM($C42:D42)&gt;E28-1,0,(E28*$B42)/12)</f>
        <v>0</v>
      </c>
      <c r="F42" s="88">
        <f ca="1">IF(SUM($C42:E42)&gt;F28-1,0,(F28*$B42)/12)</f>
        <v>0</v>
      </c>
      <c r="G42" s="88">
        <f ca="1">IF(SUM($C42:F42)&gt;G28-1,0,(G28*$B42)/12)</f>
        <v>0</v>
      </c>
      <c r="H42" s="88">
        <f ca="1">IF(SUM($C42:G42)&gt;H28-1,0,(H28*$B42)/12)</f>
        <v>0</v>
      </c>
      <c r="I42" s="88">
        <f ca="1">IF(SUM($C42:H42)&gt;I28-1,0,(I28*$B42)/12)</f>
        <v>0</v>
      </c>
      <c r="J42" s="88">
        <f ca="1">IF(SUM($C42:I42)&gt;J28-1,0,(J28*$B42)/12)</f>
        <v>0</v>
      </c>
      <c r="K42" s="88">
        <f ca="1">IF(SUM($C42:J42)&gt;K28-1,0,(K28*$B42)/12)</f>
        <v>0</v>
      </c>
      <c r="L42" s="88">
        <f ca="1">IF(SUM($C42:K42)&gt;L28-1,0,(L28*$B42)/12)</f>
        <v>0</v>
      </c>
      <c r="M42" s="88">
        <f ca="1">IF(SUM($C42:L42)&gt;M28-1,0,(M28*$B42)/12)</f>
        <v>0</v>
      </c>
      <c r="N42" s="88">
        <f ca="1">IF(SUM($C42:M42)&gt;N28-1,0,(N28*$B42)/12)</f>
        <v>0</v>
      </c>
      <c r="O42" s="89">
        <f ca="1">IF(SUM($C42:N42)&gt;O28-1,0,(O28*$B42)/12)</f>
        <v>0</v>
      </c>
      <c r="P42" s="89">
        <f ca="1">IF(SUM($C42:O42)&gt;P28-1,0,(P28*$B42)/12)</f>
        <v>0</v>
      </c>
      <c r="Q42" s="89">
        <f ca="1">IF(SUM($C42:P42)&gt;Q28-1,0,(Q28*$B42)/12)</f>
        <v>0</v>
      </c>
      <c r="R42" s="89">
        <f ca="1">IF(SUM($C42:Q42)&gt;R28-1,0,(R28*$B42)/12)</f>
        <v>0</v>
      </c>
      <c r="S42" s="89">
        <f ca="1">IF(SUM($C42:R42)&gt;S28-1,0,(S28*$B42)/12)</f>
        <v>0</v>
      </c>
      <c r="T42" s="89">
        <f ca="1">IF(SUM($C42:S42)&gt;T28-1,0,(T28*$B42)/12)</f>
        <v>0</v>
      </c>
      <c r="U42" s="89">
        <f ca="1">IF(SUM($C42:T42)&gt;U28-1,0,(U28*$B42)/12)</f>
        <v>0</v>
      </c>
      <c r="V42" s="89">
        <f ca="1">IF(SUM($C42:U42)&gt;V28-1,0,(V28*$B42)/12)</f>
        <v>0</v>
      </c>
      <c r="W42" s="89">
        <f ca="1">IF(SUM($C42:V42)&gt;W28-1,0,(W28*$B42)/12)</f>
        <v>0</v>
      </c>
      <c r="X42" s="89">
        <f ca="1">IF(SUM($C42:W42)&gt;X28-1,0,(X28*$B42)/12)</f>
        <v>0</v>
      </c>
      <c r="Y42" s="89">
        <f ca="1">IF(SUM($C42:X42)&gt;Y28-1,0,(Y28*$B42)/12)</f>
        <v>0</v>
      </c>
      <c r="Z42" s="89">
        <f ca="1">IF(SUM($C42:Y42)&gt;Z28-1,0,(Z28*$B42)/12)</f>
        <v>0</v>
      </c>
      <c r="AA42" s="88">
        <f ca="1">IF(SUM($C42:Z42)&gt;AA28-1,0,(AA28*$B42)/12)</f>
        <v>0</v>
      </c>
      <c r="AB42" s="88">
        <f ca="1">IF(SUM($C42:AA42)&gt;AB28-1,0,(AB28*$B42)/12)</f>
        <v>0</v>
      </c>
      <c r="AC42" s="88">
        <f ca="1">IF(SUM($C42:AB42)&gt;AC28-1,0,(AC28*$B42)/12)</f>
        <v>0</v>
      </c>
      <c r="AD42" s="88">
        <f ca="1">IF(SUM($C42:AC42)&gt;AD28-1,0,(AD28*$B42)/12)</f>
        <v>0</v>
      </c>
      <c r="AE42" s="88">
        <f ca="1">IF(SUM($C42:AD42)&gt;AE28-1,0,(AE28*$B42)/12)</f>
        <v>0</v>
      </c>
      <c r="AF42" s="88">
        <f ca="1">IF(SUM($C42:AE42)&gt;AF28-1,0,(AF28*$B42)/12)</f>
        <v>0</v>
      </c>
      <c r="AG42" s="88">
        <f ca="1">IF(SUM($C42:AF42)&gt;AG28-1,0,(AG28*$B42)/12)</f>
        <v>0</v>
      </c>
      <c r="AH42" s="88">
        <f ca="1">IF(SUM($C42:AG42)&gt;AH28-1,0,(AH28*$B42)/12)</f>
        <v>0</v>
      </c>
      <c r="AI42" s="88">
        <f ca="1">IF(SUM($C42:AH42)&gt;AI28-1,0,(AI28*$B42)/12)</f>
        <v>0</v>
      </c>
      <c r="AJ42" s="88">
        <f ca="1">IF(SUM($C42:AI42)&gt;AJ28-1,0,(AJ28*$B42)/12)</f>
        <v>0</v>
      </c>
      <c r="AK42" s="88">
        <f ca="1">IF(SUM($C42:AJ42)&gt;AK28-1,0,(AK28*$B42)/12)</f>
        <v>0</v>
      </c>
      <c r="AL42" s="88">
        <f ca="1">IF(SUM($C42:AK42)&gt;AL28-1,0,(AL28*$B42)/12)</f>
        <v>0</v>
      </c>
    </row>
    <row r="43" spans="1:38" outlineLevel="1">
      <c r="A43" t="s">
        <v>33</v>
      </c>
      <c r="B43" s="81">
        <f>VLOOKUP(A43,DATOS!$E$2:$F$15,2,FALSE)</f>
        <v>0.2</v>
      </c>
      <c r="C43" s="88">
        <f t="shared" ref="C43:C44" ca="1" si="4">(C29*$B43)/12</f>
        <v>0</v>
      </c>
      <c r="D43" s="88">
        <f ca="1">IF(SUM($C43:C43)&gt;D29-1,0,(D29*$B43)/12)</f>
        <v>0</v>
      </c>
      <c r="E43" s="88">
        <f ca="1">IF(SUM($C43:D43)&gt;E29-1,0,(E29*$B43)/12)</f>
        <v>0</v>
      </c>
      <c r="F43" s="88">
        <f ca="1">IF(SUM($C43:E43)&gt;F29-1,0,(F29*$B43)/12)</f>
        <v>0</v>
      </c>
      <c r="G43" s="88">
        <f ca="1">IF(SUM($C43:F43)&gt;G29-1,0,(G29*$B43)/12)</f>
        <v>0</v>
      </c>
      <c r="H43" s="88">
        <f ca="1">IF(SUM($C43:G43)&gt;H29-1,0,(H29*$B43)/12)</f>
        <v>0</v>
      </c>
      <c r="I43" s="88">
        <f ca="1">IF(SUM($C43:H43)&gt;I29-1,0,(I29*$B43)/12)</f>
        <v>0</v>
      </c>
      <c r="J43" s="88">
        <f ca="1">IF(SUM($C43:I43)&gt;J29-1,0,(J29*$B43)/12)</f>
        <v>0</v>
      </c>
      <c r="K43" s="88">
        <f ca="1">IF(SUM($C43:J43)&gt;K29-1,0,(K29*$B43)/12)</f>
        <v>0</v>
      </c>
      <c r="L43" s="88">
        <f ca="1">IF(SUM($C43:K43)&gt;L29-1,0,(L29*$B43)/12)</f>
        <v>0</v>
      </c>
      <c r="M43" s="88">
        <f ca="1">IF(SUM($C43:L43)&gt;M29-1,0,(M29*$B43)/12)</f>
        <v>0</v>
      </c>
      <c r="N43" s="88">
        <f ca="1">IF(SUM($C43:M43)&gt;N29-1,0,(N29*$B43)/12)</f>
        <v>0</v>
      </c>
      <c r="O43" s="89">
        <f ca="1">IF(SUM($C43:N43)&gt;O29-1,0,(O29*$B43)/12)</f>
        <v>0</v>
      </c>
      <c r="P43" s="89">
        <f ca="1">IF(SUM($C43:O43)&gt;P29-1,0,(P29*$B43)/12)</f>
        <v>0</v>
      </c>
      <c r="Q43" s="89">
        <f ca="1">IF(SUM($C43:P43)&gt;Q29-1,0,(Q29*$B43)/12)</f>
        <v>0</v>
      </c>
      <c r="R43" s="89">
        <f ca="1">IF(SUM($C43:Q43)&gt;R29-1,0,(R29*$B43)/12)</f>
        <v>0</v>
      </c>
      <c r="S43" s="89">
        <f ca="1">IF(SUM($C43:R43)&gt;S29-1,0,(S29*$B43)/12)</f>
        <v>0</v>
      </c>
      <c r="T43" s="89">
        <f ca="1">IF(SUM($C43:S43)&gt;T29-1,0,(T29*$B43)/12)</f>
        <v>0</v>
      </c>
      <c r="U43" s="89">
        <f ca="1">IF(SUM($C43:T43)&gt;U29-1,0,(U29*$B43)/12)</f>
        <v>0</v>
      </c>
      <c r="V43" s="89">
        <f ca="1">IF(SUM($C43:U43)&gt;V29-1,0,(V29*$B43)/12)</f>
        <v>0</v>
      </c>
      <c r="W43" s="89">
        <f ca="1">IF(SUM($C43:V43)&gt;W29-1,0,(W29*$B43)/12)</f>
        <v>0</v>
      </c>
      <c r="X43" s="89">
        <f ca="1">IF(SUM($C43:W43)&gt;X29-1,0,(X29*$B43)/12)</f>
        <v>0</v>
      </c>
      <c r="Y43" s="89">
        <f ca="1">IF(SUM($C43:X43)&gt;Y29-1,0,(Y29*$B43)/12)</f>
        <v>0</v>
      </c>
      <c r="Z43" s="89">
        <f ca="1">IF(SUM($C43:Y43)&gt;Z29-1,0,(Z29*$B43)/12)</f>
        <v>0</v>
      </c>
      <c r="AA43" s="88">
        <f ca="1">IF(SUM($C43:Z43)&gt;AA29-1,0,(AA29*$B43)/12)</f>
        <v>0</v>
      </c>
      <c r="AB43" s="88">
        <f ca="1">IF(SUM($C43:AA43)&gt;AB29-1,0,(AB29*$B43)/12)</f>
        <v>0</v>
      </c>
      <c r="AC43" s="88">
        <f ca="1">IF(SUM($C43:AB43)&gt;AC29-1,0,(AC29*$B43)/12)</f>
        <v>0</v>
      </c>
      <c r="AD43" s="88">
        <f ca="1">IF(SUM($C43:AC43)&gt;AD29-1,0,(AD29*$B43)/12)</f>
        <v>0</v>
      </c>
      <c r="AE43" s="88">
        <f ca="1">IF(SUM($C43:AD43)&gt;AE29-1,0,(AE29*$B43)/12)</f>
        <v>0</v>
      </c>
      <c r="AF43" s="88">
        <f ca="1">IF(SUM($C43:AE43)&gt;AF29-1,0,(AF29*$B43)/12)</f>
        <v>0</v>
      </c>
      <c r="AG43" s="88">
        <f ca="1">IF(SUM($C43:AF43)&gt;AG29-1,0,(AG29*$B43)/12)</f>
        <v>0</v>
      </c>
      <c r="AH43" s="88">
        <f ca="1">IF(SUM($C43:AG43)&gt;AH29-1,0,(AH29*$B43)/12)</f>
        <v>0</v>
      </c>
      <c r="AI43" s="88">
        <f ca="1">IF(SUM($C43:AH43)&gt;AI29-1,0,(AI29*$B43)/12)</f>
        <v>0</v>
      </c>
      <c r="AJ43" s="88">
        <f ca="1">IF(SUM($C43:AI43)&gt;AJ29-1,0,(AJ29*$B43)/12)</f>
        <v>0</v>
      </c>
      <c r="AK43" s="88">
        <f ca="1">IF(SUM($C43:AJ43)&gt;AK29-1,0,(AK29*$B43)/12)</f>
        <v>0</v>
      </c>
      <c r="AL43" s="88">
        <f ca="1">IF(SUM($C43:AK43)&gt;AL29-1,0,(AL29*$B43)/12)</f>
        <v>0</v>
      </c>
    </row>
    <row r="44" spans="1:38" outlineLevel="1">
      <c r="A44" t="s">
        <v>379</v>
      </c>
      <c r="B44" s="81">
        <f>VLOOKUP(A44,DATOS!$E$2:$F$15,2,FALSE)</f>
        <v>0.2</v>
      </c>
      <c r="C44" s="88">
        <f t="shared" ca="1" si="4"/>
        <v>0</v>
      </c>
      <c r="D44" s="88">
        <f ca="1">IF(SUM($C44:C44)&gt;D30-1,0,(D30*$B44)/12)</f>
        <v>0</v>
      </c>
      <c r="E44" s="88">
        <f ca="1">IF(SUM($C44:D44)&gt;E30-1,0,(E30*$B44)/12)</f>
        <v>0</v>
      </c>
      <c r="F44" s="88">
        <f ca="1">IF(SUM($C44:E44)&gt;F30-1,0,(F30*$B44)/12)</f>
        <v>0</v>
      </c>
      <c r="G44" s="88">
        <f ca="1">IF(SUM($C44:F44)&gt;G30-1,0,(G30*$B44)/12)</f>
        <v>0</v>
      </c>
      <c r="H44" s="88">
        <f ca="1">IF(SUM($C44:G44)&gt;H30-1,0,(H30*$B44)/12)</f>
        <v>0</v>
      </c>
      <c r="I44" s="88">
        <f ca="1">IF(SUM($C44:H44)&gt;I30-1,0,(I30*$B44)/12)</f>
        <v>0</v>
      </c>
      <c r="J44" s="88">
        <f ca="1">IF(SUM($C44:I44)&gt;J30-1,0,(J30*$B44)/12)</f>
        <v>0</v>
      </c>
      <c r="K44" s="88">
        <f ca="1">IF(SUM($C44:J44)&gt;K30-1,0,(K30*$B44)/12)</f>
        <v>0</v>
      </c>
      <c r="L44" s="88">
        <f ca="1">IF(SUM($C44:K44)&gt;L30-1,0,(L30*$B44)/12)</f>
        <v>0</v>
      </c>
      <c r="M44" s="88">
        <f ca="1">IF(SUM($C44:L44)&gt;M30-1,0,(M30*$B44)/12)</f>
        <v>0</v>
      </c>
      <c r="N44" s="88">
        <f ca="1">IF(SUM($C44:M44)&gt;N30-1,0,(N30*$B44)/12)</f>
        <v>0</v>
      </c>
      <c r="O44" s="89">
        <f ca="1">IF(SUM($C44:N44)&gt;O30-1,0,(O30*$B44)/12)</f>
        <v>0</v>
      </c>
      <c r="P44" s="89">
        <f ca="1">IF(SUM($C44:O44)&gt;P30-1,0,(P30*$B44)/12)</f>
        <v>0</v>
      </c>
      <c r="Q44" s="89">
        <f ca="1">IF(SUM($C44:P44)&gt;Q30-1,0,(Q30*$B44)/12)</f>
        <v>0</v>
      </c>
      <c r="R44" s="89">
        <f ca="1">IF(SUM($C44:Q44)&gt;R30-1,0,(R30*$B44)/12)</f>
        <v>0</v>
      </c>
      <c r="S44" s="89">
        <f ca="1">IF(SUM($C44:R44)&gt;S30-1,0,(S30*$B44)/12)</f>
        <v>0</v>
      </c>
      <c r="T44" s="89">
        <f ca="1">IF(SUM($C44:S44)&gt;T30-1,0,(T30*$B44)/12)</f>
        <v>0</v>
      </c>
      <c r="U44" s="89">
        <f ca="1">IF(SUM($C44:T44)&gt;U30-1,0,(U30*$B44)/12)</f>
        <v>0</v>
      </c>
      <c r="V44" s="89">
        <f ca="1">IF(SUM($C44:U44)&gt;V30-1,0,(V30*$B44)/12)</f>
        <v>0</v>
      </c>
      <c r="W44" s="89">
        <f ca="1">IF(SUM($C44:V44)&gt;W30-1,0,(W30*$B44)/12)</f>
        <v>0</v>
      </c>
      <c r="X44" s="89">
        <f ca="1">IF(SUM($C44:W44)&gt;X30-1,0,(X30*$B44)/12)</f>
        <v>0</v>
      </c>
      <c r="Y44" s="89">
        <f ca="1">IF(SUM($C44:X44)&gt;Y30-1,0,(Y30*$B44)/12)</f>
        <v>0</v>
      </c>
      <c r="Z44" s="89">
        <f ca="1">IF(SUM($C44:Y44)&gt;Z30-1,0,(Z30*$B44)/12)</f>
        <v>0</v>
      </c>
      <c r="AA44" s="88">
        <f ca="1">IF(SUM($C44:Z44)&gt;AA30-1,0,(AA30*$B44)/12)</f>
        <v>0</v>
      </c>
      <c r="AB44" s="88">
        <f ca="1">IF(SUM($C44:AA44)&gt;AB30-1,0,(AB30*$B44)/12)</f>
        <v>0</v>
      </c>
      <c r="AC44" s="88">
        <f ca="1">IF(SUM($C44:AB44)&gt;AC30-1,0,(AC30*$B44)/12)</f>
        <v>0</v>
      </c>
      <c r="AD44" s="88">
        <f ca="1">IF(SUM($C44:AC44)&gt;AD30-1,0,(AD30*$B44)/12)</f>
        <v>0</v>
      </c>
      <c r="AE44" s="88">
        <f ca="1">IF(SUM($C44:AD44)&gt;AE30-1,0,(AE30*$B44)/12)</f>
        <v>0</v>
      </c>
      <c r="AF44" s="88">
        <f ca="1">IF(SUM($C44:AE44)&gt;AF30-1,0,(AF30*$B44)/12)</f>
        <v>0</v>
      </c>
      <c r="AG44" s="88">
        <f ca="1">IF(SUM($C44:AF44)&gt;AG30-1,0,(AG30*$B44)/12)</f>
        <v>0</v>
      </c>
      <c r="AH44" s="88">
        <f ca="1">IF(SUM($C44:AG44)&gt;AH30-1,0,(AH30*$B44)/12)</f>
        <v>0</v>
      </c>
      <c r="AI44" s="88">
        <f ca="1">IF(SUM($C44:AH44)&gt;AI30-1,0,(AI30*$B44)/12)</f>
        <v>0</v>
      </c>
      <c r="AJ44" s="88">
        <f ca="1">IF(SUM($C44:AI44)&gt;AJ30-1,0,(AJ30*$B44)/12)</f>
        <v>0</v>
      </c>
      <c r="AK44" s="88">
        <f ca="1">IF(SUM($C44:AJ44)&gt;AK30-1,0,(AK30*$B44)/12)</f>
        <v>0</v>
      </c>
      <c r="AL44" s="88">
        <f ca="1">IF(SUM($C44:AK44)&gt;AL30-1,0,(AL30*$B44)/12)</f>
        <v>0</v>
      </c>
    </row>
    <row r="45" spans="1:38" s="90" customFormat="1" ht="15.75">
      <c r="A45" s="94" t="s">
        <v>204</v>
      </c>
      <c r="B45" s="91"/>
      <c r="C45" s="92">
        <f ca="1">SUM(C33:C44)</f>
        <v>0</v>
      </c>
      <c r="D45" s="92">
        <f t="shared" ref="D45:AL45" ca="1" si="5">SUM(D33:D44)</f>
        <v>0</v>
      </c>
      <c r="E45" s="92">
        <f t="shared" ca="1" si="5"/>
        <v>0</v>
      </c>
      <c r="F45" s="92">
        <f t="shared" ca="1" si="5"/>
        <v>0</v>
      </c>
      <c r="G45" s="92">
        <f t="shared" ca="1" si="5"/>
        <v>0</v>
      </c>
      <c r="H45" s="92">
        <f t="shared" ca="1" si="5"/>
        <v>0</v>
      </c>
      <c r="I45" s="92">
        <f t="shared" ca="1" si="5"/>
        <v>0</v>
      </c>
      <c r="J45" s="92">
        <f t="shared" ca="1" si="5"/>
        <v>0</v>
      </c>
      <c r="K45" s="92">
        <f t="shared" ca="1" si="5"/>
        <v>0</v>
      </c>
      <c r="L45" s="92">
        <f t="shared" ca="1" si="5"/>
        <v>0</v>
      </c>
      <c r="M45" s="92">
        <f t="shared" ca="1" si="5"/>
        <v>0</v>
      </c>
      <c r="N45" s="92">
        <f t="shared" ca="1" si="5"/>
        <v>0</v>
      </c>
      <c r="O45" s="93">
        <f ca="1">SUM(O33:O44)</f>
        <v>0</v>
      </c>
      <c r="P45" s="93">
        <f t="shared" ca="1" si="5"/>
        <v>0</v>
      </c>
      <c r="Q45" s="93">
        <f t="shared" ca="1" si="5"/>
        <v>0</v>
      </c>
      <c r="R45" s="93">
        <f t="shared" ca="1" si="5"/>
        <v>0</v>
      </c>
      <c r="S45" s="93">
        <f t="shared" ca="1" si="5"/>
        <v>0</v>
      </c>
      <c r="T45" s="93">
        <f t="shared" ca="1" si="5"/>
        <v>0</v>
      </c>
      <c r="U45" s="93">
        <f t="shared" ca="1" si="5"/>
        <v>0</v>
      </c>
      <c r="V45" s="93">
        <f t="shared" ca="1" si="5"/>
        <v>0</v>
      </c>
      <c r="W45" s="93">
        <f t="shared" ca="1" si="5"/>
        <v>0</v>
      </c>
      <c r="X45" s="93">
        <f t="shared" ca="1" si="5"/>
        <v>0</v>
      </c>
      <c r="Y45" s="93">
        <f t="shared" ca="1" si="5"/>
        <v>0</v>
      </c>
      <c r="Z45" s="93">
        <f t="shared" ca="1" si="5"/>
        <v>0</v>
      </c>
      <c r="AA45" s="92">
        <f t="shared" ca="1" si="5"/>
        <v>0</v>
      </c>
      <c r="AB45" s="92">
        <f t="shared" ca="1" si="5"/>
        <v>0</v>
      </c>
      <c r="AC45" s="92">
        <f t="shared" ca="1" si="5"/>
        <v>0</v>
      </c>
      <c r="AD45" s="92">
        <f t="shared" ca="1" si="5"/>
        <v>0</v>
      </c>
      <c r="AE45" s="92">
        <f t="shared" ca="1" si="5"/>
        <v>0</v>
      </c>
      <c r="AF45" s="92">
        <f t="shared" ca="1" si="5"/>
        <v>0</v>
      </c>
      <c r="AG45" s="92">
        <f t="shared" ca="1" si="5"/>
        <v>0</v>
      </c>
      <c r="AH45" s="92">
        <f t="shared" ca="1" si="5"/>
        <v>0</v>
      </c>
      <c r="AI45" s="92">
        <f t="shared" ca="1" si="5"/>
        <v>0</v>
      </c>
      <c r="AJ45" s="92">
        <f t="shared" ca="1" si="5"/>
        <v>0</v>
      </c>
      <c r="AK45" s="92">
        <f t="shared" ca="1" si="5"/>
        <v>0</v>
      </c>
      <c r="AL45" s="92">
        <f t="shared" ca="1" si="5"/>
        <v>0</v>
      </c>
    </row>
    <row r="46" spans="1:38">
      <c r="C46" t="s">
        <v>46</v>
      </c>
    </row>
    <row r="47" spans="1:38">
      <c r="A47" t="s">
        <v>3</v>
      </c>
      <c r="B47" t="s">
        <v>46</v>
      </c>
      <c r="C47" s="88">
        <f ca="1">SUMIF('Inversión-Financiación'!$C$4:$AP$20,$A47,'Inversión-Financiación'!G$4:G$20)+Seguimiento!F23</f>
        <v>0</v>
      </c>
      <c r="D47">
        <f ca="1">SUMIF('Inversión-Financiación'!$C$4:$AP$20,$A47,'Inversión-Financiación'!H$4:H$20)</f>
        <v>0</v>
      </c>
      <c r="E47">
        <f ca="1">SUMIF('Inversión-Financiación'!$C$4:$AP$20,$A47,'Inversión-Financiación'!I$4:I$20)</f>
        <v>0</v>
      </c>
      <c r="F47">
        <f ca="1">SUMIF('Inversión-Financiación'!$C$4:$AP$20,$A47,'Inversión-Financiación'!J$4:J$20)</f>
        <v>0</v>
      </c>
      <c r="G47">
        <f ca="1">SUMIF('Inversión-Financiación'!$C$4:$AP$20,$A47,'Inversión-Financiación'!K$4:K$20)</f>
        <v>0</v>
      </c>
      <c r="H47">
        <f ca="1">SUMIF('Inversión-Financiación'!$C$4:$AP$20,$A47,'Inversión-Financiación'!L$4:L$20)</f>
        <v>0</v>
      </c>
      <c r="I47">
        <f ca="1">SUMIF('Inversión-Financiación'!$C$4:$AP$20,$A47,'Inversión-Financiación'!M$4:M$20)</f>
        <v>0</v>
      </c>
      <c r="J47">
        <f ca="1">SUMIF('Inversión-Financiación'!$C$4:$AP$20,$A47,'Inversión-Financiación'!N$4:N$20)</f>
        <v>0</v>
      </c>
      <c r="K47">
        <f ca="1">SUMIF('Inversión-Financiación'!$C$4:$AP$20,$A47,'Inversión-Financiación'!O$4:O$20)</f>
        <v>0</v>
      </c>
      <c r="L47">
        <f ca="1">SUMIF('Inversión-Financiación'!$C$4:$AP$20,$A47,'Inversión-Financiación'!P$4:P$20)</f>
        <v>0</v>
      </c>
      <c r="M47">
        <f ca="1">SUMIF('Inversión-Financiación'!$C$4:$AP$20,$A47,'Inversión-Financiación'!Q$4:Q$20)</f>
        <v>0</v>
      </c>
      <c r="N47">
        <f ca="1">SUMIF('Inversión-Financiación'!$C$4:$AP$20,$A47,'Inversión-Financiación'!R$4:R$20)</f>
        <v>0</v>
      </c>
      <c r="O47">
        <f ca="1">SUMIF('Inversión-Financiación'!$C$4:$AP$20,$A47,'Inversión-Financiación'!S$4:S$20)</f>
        <v>0</v>
      </c>
      <c r="P47">
        <f ca="1">SUMIF('Inversión-Financiación'!$C$4:$AP$20,$A47,'Inversión-Financiación'!T$4:T$20)</f>
        <v>0</v>
      </c>
      <c r="Q47">
        <f ca="1">SUMIF('Inversión-Financiación'!$C$4:$AP$20,$A47,'Inversión-Financiación'!U$4:U$20)</f>
        <v>0</v>
      </c>
      <c r="R47">
        <f ca="1">SUMIF('Inversión-Financiación'!$C$4:$AP$20,$A47,'Inversión-Financiación'!V$4:V$20)</f>
        <v>0</v>
      </c>
      <c r="S47">
        <f ca="1">SUMIF('Inversión-Financiación'!$C$4:$AP$20,$A47,'Inversión-Financiación'!W$4:W$20)</f>
        <v>0</v>
      </c>
      <c r="T47">
        <f ca="1">SUMIF('Inversión-Financiación'!$C$4:$AP$20,$A47,'Inversión-Financiación'!X$4:X$20)</f>
        <v>0</v>
      </c>
      <c r="U47">
        <f ca="1">SUMIF('Inversión-Financiación'!$C$4:$AP$20,$A47,'Inversión-Financiación'!Y$4:Y$20)</f>
        <v>0</v>
      </c>
      <c r="V47">
        <f ca="1">SUMIF('Inversión-Financiación'!$C$4:$AP$20,$A47,'Inversión-Financiación'!Z$4:Z$20)</f>
        <v>0</v>
      </c>
      <c r="W47">
        <f ca="1">SUMIF('Inversión-Financiación'!$C$4:$AP$20,$A47,'Inversión-Financiación'!AA$4:AA$20)</f>
        <v>0</v>
      </c>
      <c r="X47">
        <f ca="1">SUMIF('Inversión-Financiación'!$C$4:$AP$20,$A47,'Inversión-Financiación'!AB$4:AB$20)</f>
        <v>0</v>
      </c>
      <c r="Y47">
        <f ca="1">SUMIF('Inversión-Financiación'!$C$4:$AP$20,$A47,'Inversión-Financiación'!AC$4:AC$20)</f>
        <v>0</v>
      </c>
      <c r="Z47">
        <f ca="1">SUMIF('Inversión-Financiación'!$C$4:$AP$20,$A47,'Inversión-Financiación'!AD$4:AD$20)</f>
        <v>0</v>
      </c>
      <c r="AA47">
        <f ca="1">SUMIF('Inversión-Financiación'!$C$4:$AP$20,$A47,'Inversión-Financiación'!AE$4:AE$20)</f>
        <v>0</v>
      </c>
      <c r="AB47">
        <f ca="1">SUMIF('Inversión-Financiación'!$C$4:$AP$20,$A47,'Inversión-Financiación'!AF$4:AF$20)</f>
        <v>0</v>
      </c>
      <c r="AC47">
        <f ca="1">SUMIF('Inversión-Financiación'!$C$4:$AP$20,$A47,'Inversión-Financiación'!AG$4:AG$20)</f>
        <v>0</v>
      </c>
      <c r="AD47">
        <f ca="1">SUMIF('Inversión-Financiación'!$C$4:$AP$20,$A47,'Inversión-Financiación'!AH$4:AH$20)</f>
        <v>0</v>
      </c>
      <c r="AE47">
        <f ca="1">SUMIF('Inversión-Financiación'!$C$4:$AP$20,$A47,'Inversión-Financiación'!AI$4:AI$20)</f>
        <v>0</v>
      </c>
      <c r="AF47">
        <f ca="1">SUMIF('Inversión-Financiación'!$C$4:$AP$20,$A47,'Inversión-Financiación'!AJ$4:AJ$20)</f>
        <v>0</v>
      </c>
      <c r="AG47">
        <f ca="1">SUMIF('Inversión-Financiación'!$C$4:$AP$20,$A47,'Inversión-Financiación'!AK$4:AK$20)</f>
        <v>0</v>
      </c>
      <c r="AH47">
        <f ca="1">SUMIF('Inversión-Financiación'!$C$4:$AP$20,$A47,'Inversión-Financiación'!AL$4:AL$20)</f>
        <v>0</v>
      </c>
      <c r="AI47">
        <f ca="1">SUMIF('Inversión-Financiación'!$C$4:$AP$20,$A47,'Inversión-Financiación'!AM$4:AM$20)</f>
        <v>0</v>
      </c>
      <c r="AJ47">
        <f ca="1">SUMIF('Inversión-Financiación'!$C$4:$AP$20,$A47,'Inversión-Financiación'!AN$4:AN$20)</f>
        <v>0</v>
      </c>
      <c r="AK47">
        <f ca="1">SUMIF('Inversión-Financiación'!$C$4:$AP$20,$A47,'Inversión-Financiación'!AO$4:AO$20)</f>
        <v>0</v>
      </c>
      <c r="AL47">
        <f ca="1">SUMIF('Inversión-Financiación'!$C$4:$AP$20,$A47,'Inversión-Financiación'!AP$4:AP$20)</f>
        <v>0</v>
      </c>
    </row>
    <row r="48" spans="1:38">
      <c r="A48" t="s">
        <v>109</v>
      </c>
      <c r="C48" s="88">
        <f ca="1">SUMIF('Inversión-Financiación'!$C$4:$AP$20,$A48,'Inversión-Financiación'!G$4:G$20)</f>
        <v>0</v>
      </c>
      <c r="D48" s="88">
        <f ca="1">SUMIF('Inversión-Financiación'!$C$4:$AP$20,$A48,'Inversión-Financiación'!H$4:H$20)</f>
        <v>0</v>
      </c>
      <c r="E48" s="88">
        <f ca="1">SUMIF('Inversión-Financiación'!$C$4:$AP$20,$A48,'Inversión-Financiación'!I$4:I$20)</f>
        <v>0</v>
      </c>
      <c r="F48" s="88">
        <f ca="1">SUMIF('Inversión-Financiación'!$C$4:$AP$20,$A48,'Inversión-Financiación'!J$4:J$20)</f>
        <v>0</v>
      </c>
      <c r="G48" s="88">
        <f ca="1">SUMIF('Inversión-Financiación'!$C$4:$AP$20,$A48,'Inversión-Financiación'!K$4:K$20)</f>
        <v>0</v>
      </c>
      <c r="H48" s="88">
        <f ca="1">SUMIF('Inversión-Financiación'!$C$4:$AP$20,$A48,'Inversión-Financiación'!L$4:L$20)</f>
        <v>0</v>
      </c>
      <c r="I48" s="88">
        <f ca="1">SUMIF('Inversión-Financiación'!$C$4:$AP$20,$A48,'Inversión-Financiación'!M$4:M$20)</f>
        <v>0</v>
      </c>
      <c r="J48" s="88">
        <f ca="1">SUMIF('Inversión-Financiación'!$C$4:$AP$20,$A48,'Inversión-Financiación'!N$4:N$20)</f>
        <v>0</v>
      </c>
      <c r="K48" s="88">
        <f ca="1">SUMIF('Inversión-Financiación'!$C$4:$AP$20,$A48,'Inversión-Financiación'!O$4:O$20)</f>
        <v>0</v>
      </c>
      <c r="L48" s="88">
        <f ca="1">SUMIF('Inversión-Financiación'!$C$4:$AP$20,$A48,'Inversión-Financiación'!P$4:P$20)</f>
        <v>0</v>
      </c>
      <c r="M48" s="88">
        <f ca="1">SUMIF('Inversión-Financiación'!$C$4:$AP$20,$A48,'Inversión-Financiación'!Q$4:Q$20)</f>
        <v>0</v>
      </c>
      <c r="N48" s="88">
        <f ca="1">SUMIF('Inversión-Financiación'!$C$4:$AP$20,$A48,'Inversión-Financiación'!R$4:R$20)</f>
        <v>0</v>
      </c>
      <c r="O48" s="88">
        <f ca="1">SUMIF('Inversión-Financiación'!$C$4:$AP$20,$A48,'Inversión-Financiación'!S$4:S$20)</f>
        <v>0</v>
      </c>
      <c r="P48" s="88">
        <f ca="1">SUMIF('Inversión-Financiación'!$C$4:$AP$20,$A48,'Inversión-Financiación'!T$4:T$20)</f>
        <v>0</v>
      </c>
      <c r="Q48" s="88">
        <f ca="1">SUMIF('Inversión-Financiación'!$C$4:$AP$20,$A48,'Inversión-Financiación'!U$4:U$20)</f>
        <v>0</v>
      </c>
      <c r="R48" s="88">
        <f ca="1">SUMIF('Inversión-Financiación'!$C$4:$AP$20,$A48,'Inversión-Financiación'!V$4:V$20)</f>
        <v>0</v>
      </c>
      <c r="S48" s="88">
        <f ca="1">SUMIF('Inversión-Financiación'!$C$4:$AP$20,$A48,'Inversión-Financiación'!W$4:W$20)</f>
        <v>0</v>
      </c>
      <c r="T48" s="88">
        <f ca="1">SUMIF('Inversión-Financiación'!$C$4:$AP$20,$A48,'Inversión-Financiación'!X$4:X$20)</f>
        <v>0</v>
      </c>
      <c r="U48" s="88">
        <f ca="1">SUMIF('Inversión-Financiación'!$C$4:$AP$20,$A48,'Inversión-Financiación'!Y$4:Y$20)</f>
        <v>0</v>
      </c>
      <c r="V48" s="88">
        <f ca="1">SUMIF('Inversión-Financiación'!$C$4:$AP$20,$A48,'Inversión-Financiación'!Z$4:Z$20)</f>
        <v>0</v>
      </c>
      <c r="W48" s="88">
        <f ca="1">SUMIF('Inversión-Financiación'!$C$4:$AP$20,$A48,'Inversión-Financiación'!AA$4:AA$20)</f>
        <v>0</v>
      </c>
      <c r="X48" s="88">
        <f ca="1">SUMIF('Inversión-Financiación'!$C$4:$AP$20,$A48,'Inversión-Financiación'!AB$4:AB$20)</f>
        <v>0</v>
      </c>
      <c r="Y48" s="88">
        <f ca="1">SUMIF('Inversión-Financiación'!$C$4:$AP$20,$A48,'Inversión-Financiación'!AC$4:AC$20)</f>
        <v>0</v>
      </c>
      <c r="Z48" s="88">
        <f ca="1">SUMIF('Inversión-Financiación'!$C$4:$AP$20,$A48,'Inversión-Financiación'!AD$4:AD$20)</f>
        <v>0</v>
      </c>
      <c r="AA48" s="88">
        <f ca="1">SUMIF('Inversión-Financiación'!$C$4:$AP$20,$A48,'Inversión-Financiación'!AE$4:AE$20)</f>
        <v>0</v>
      </c>
      <c r="AB48" s="88">
        <f ca="1">SUMIF('Inversión-Financiación'!$C$4:$AP$20,$A48,'Inversión-Financiación'!AF$4:AF$20)</f>
        <v>0</v>
      </c>
      <c r="AC48" s="88">
        <f ca="1">SUMIF('Inversión-Financiación'!$C$4:$AP$20,$A48,'Inversión-Financiación'!AG$4:AG$20)</f>
        <v>0</v>
      </c>
      <c r="AD48" s="88">
        <f ca="1">SUMIF('Inversión-Financiación'!$C$4:$AP$20,$A48,'Inversión-Financiación'!AH$4:AH$20)</f>
        <v>0</v>
      </c>
      <c r="AE48" s="88">
        <f ca="1">SUMIF('Inversión-Financiación'!$C$4:$AP$20,$A48,'Inversión-Financiación'!AI$4:AI$20)</f>
        <v>0</v>
      </c>
      <c r="AF48" s="88">
        <f ca="1">SUMIF('Inversión-Financiación'!$C$4:$AP$20,$A48,'Inversión-Financiación'!AJ$4:AJ$20)</f>
        <v>0</v>
      </c>
      <c r="AG48" s="88">
        <f ca="1">SUMIF('Inversión-Financiación'!$C$4:$AP$20,$A48,'Inversión-Financiación'!AK$4:AK$20)</f>
        <v>0</v>
      </c>
      <c r="AH48" s="88">
        <f ca="1">SUMIF('Inversión-Financiación'!$C$4:$AP$20,$A48,'Inversión-Financiación'!AL$4:AL$20)</f>
        <v>0</v>
      </c>
      <c r="AI48" s="88">
        <f ca="1">SUMIF('Inversión-Financiación'!$C$4:$AP$20,$A48,'Inversión-Financiación'!AM$4:AM$20)</f>
        <v>0</v>
      </c>
      <c r="AJ48" s="88">
        <f ca="1">SUMIF('Inversión-Financiación'!$C$4:$AP$20,$A48,'Inversión-Financiación'!AN$4:AN$20)</f>
        <v>0</v>
      </c>
      <c r="AK48" s="88">
        <f ca="1">SUMIF('Inversión-Financiación'!$C$4:$AP$20,$A48,'Inversión-Financiación'!AO$4:AO$20)</f>
        <v>0</v>
      </c>
      <c r="AL48" s="88">
        <f ca="1">SUMIF('Inversión-Financiación'!$C$4:$AP$20,$A48,'Inversión-Financiación'!AP$4:AP$20)</f>
        <v>0</v>
      </c>
    </row>
    <row r="49" spans="1:38">
      <c r="A49" t="s">
        <v>35</v>
      </c>
      <c r="C49" s="88">
        <f ca="1">SUMIF('Inversión-Financiación'!$C$4:$AP$20,$A49,'Inversión-Financiación'!G$4:G$20)+Seguimiento!F25</f>
        <v>0</v>
      </c>
      <c r="D49" s="88">
        <f ca="1">SUMIF('Inversión-Financiación'!$C$4:$AP$20,$A49,'Inversión-Financiación'!H$4:H$20)</f>
        <v>0</v>
      </c>
      <c r="E49" s="88">
        <f ca="1">SUMIF('Inversión-Financiación'!$C$4:$AP$20,$A49,'Inversión-Financiación'!I$4:I$20)</f>
        <v>0</v>
      </c>
      <c r="F49" s="88">
        <f ca="1">SUMIF('Inversión-Financiación'!$C$4:$AP$20,$A49,'Inversión-Financiación'!J$4:J$20)</f>
        <v>0</v>
      </c>
      <c r="G49" s="88">
        <f ca="1">SUMIF('Inversión-Financiación'!$C$4:$AP$20,$A49,'Inversión-Financiación'!K$4:K$20)</f>
        <v>0</v>
      </c>
      <c r="H49" s="88">
        <f ca="1">SUMIF('Inversión-Financiación'!$C$4:$AP$20,$A49,'Inversión-Financiación'!L$4:L$20)</f>
        <v>0</v>
      </c>
      <c r="I49" s="88">
        <f ca="1">SUMIF('Inversión-Financiación'!$C$4:$AP$20,$A49,'Inversión-Financiación'!M$4:M$20)</f>
        <v>0</v>
      </c>
      <c r="J49" s="88">
        <f ca="1">SUMIF('Inversión-Financiación'!$C$4:$AP$20,$A49,'Inversión-Financiación'!N$4:N$20)</f>
        <v>0</v>
      </c>
      <c r="K49" s="88">
        <f ca="1">SUMIF('Inversión-Financiación'!$C$4:$AP$20,$A49,'Inversión-Financiación'!O$4:O$20)</f>
        <v>0</v>
      </c>
      <c r="L49" s="88">
        <f ca="1">SUMIF('Inversión-Financiación'!$C$4:$AP$20,$A49,'Inversión-Financiación'!P$4:P$20)</f>
        <v>0</v>
      </c>
      <c r="M49" s="88">
        <f ca="1">SUMIF('Inversión-Financiación'!$C$4:$AP$20,$A49,'Inversión-Financiación'!Q$4:Q$20)</f>
        <v>0</v>
      </c>
      <c r="N49" s="88">
        <f ca="1">SUMIF('Inversión-Financiación'!$C$4:$AP$20,$A49,'Inversión-Financiación'!R$4:R$20)</f>
        <v>0</v>
      </c>
      <c r="O49" s="88">
        <f ca="1">SUMIF('Inversión-Financiación'!$C$4:$AP$20,$A49,'Inversión-Financiación'!S$4:S$20)</f>
        <v>0</v>
      </c>
      <c r="P49" s="88">
        <f ca="1">SUMIF('Inversión-Financiación'!$C$4:$AP$20,$A49,'Inversión-Financiación'!T$4:T$20)</f>
        <v>0</v>
      </c>
      <c r="Q49" s="88">
        <f ca="1">SUMIF('Inversión-Financiación'!$C$4:$AP$20,$A49,'Inversión-Financiación'!U$4:U$20)</f>
        <v>0</v>
      </c>
      <c r="R49" s="88">
        <f ca="1">SUMIF('Inversión-Financiación'!$C$4:$AP$20,$A49,'Inversión-Financiación'!V$4:V$20)</f>
        <v>0</v>
      </c>
      <c r="S49" s="88">
        <f ca="1">SUMIF('Inversión-Financiación'!$C$4:$AP$20,$A49,'Inversión-Financiación'!W$4:W$20)</f>
        <v>0</v>
      </c>
      <c r="T49" s="88">
        <f ca="1">SUMIF('Inversión-Financiación'!$C$4:$AP$20,$A49,'Inversión-Financiación'!X$4:X$20)</f>
        <v>0</v>
      </c>
      <c r="U49" s="88">
        <f ca="1">SUMIF('Inversión-Financiación'!$C$4:$AP$20,$A49,'Inversión-Financiación'!Y$4:Y$20)</f>
        <v>0</v>
      </c>
      <c r="V49" s="88">
        <f ca="1">SUMIF('Inversión-Financiación'!$C$4:$AP$20,$A49,'Inversión-Financiación'!Z$4:Z$20)</f>
        <v>0</v>
      </c>
      <c r="W49" s="88">
        <f ca="1">SUMIF('Inversión-Financiación'!$C$4:$AP$20,$A49,'Inversión-Financiación'!AA$4:AA$20)</f>
        <v>0</v>
      </c>
      <c r="X49" s="88">
        <f ca="1">SUMIF('Inversión-Financiación'!$C$4:$AP$20,$A49,'Inversión-Financiación'!AB$4:AB$20)</f>
        <v>0</v>
      </c>
      <c r="Y49" s="88">
        <f ca="1">SUMIF('Inversión-Financiación'!$C$4:$AP$20,$A49,'Inversión-Financiación'!AC$4:AC$20)</f>
        <v>0</v>
      </c>
      <c r="Z49" s="88">
        <f ca="1">SUMIF('Inversión-Financiación'!$C$4:$AP$20,$A49,'Inversión-Financiación'!AD$4:AD$20)</f>
        <v>0</v>
      </c>
      <c r="AA49" s="88">
        <f ca="1">SUMIF('Inversión-Financiación'!$C$4:$AP$20,$A49,'Inversión-Financiación'!AE$4:AE$20)</f>
        <v>0</v>
      </c>
      <c r="AB49" s="88">
        <f ca="1">SUMIF('Inversión-Financiación'!$C$4:$AP$20,$A49,'Inversión-Financiación'!AF$4:AF$20)</f>
        <v>0</v>
      </c>
      <c r="AC49" s="88">
        <f ca="1">SUMIF('Inversión-Financiación'!$C$4:$AP$20,$A49,'Inversión-Financiación'!AG$4:AG$20)</f>
        <v>0</v>
      </c>
      <c r="AD49" s="88">
        <f ca="1">SUMIF('Inversión-Financiación'!$C$4:$AP$20,$A49,'Inversión-Financiación'!AH$4:AH$20)</f>
        <v>0</v>
      </c>
      <c r="AE49" s="88">
        <f ca="1">SUMIF('Inversión-Financiación'!$C$4:$AP$20,$A49,'Inversión-Financiación'!AI$4:AI$20)</f>
        <v>0</v>
      </c>
      <c r="AF49" s="88">
        <f ca="1">SUMIF('Inversión-Financiación'!$C$4:$AP$20,$A49,'Inversión-Financiación'!AJ$4:AJ$20)</f>
        <v>0</v>
      </c>
      <c r="AG49" s="88">
        <f ca="1">SUMIF('Inversión-Financiación'!$C$4:$AP$20,$A49,'Inversión-Financiación'!AK$4:AK$20)</f>
        <v>0</v>
      </c>
      <c r="AH49" s="88">
        <f ca="1">SUMIF('Inversión-Financiación'!$C$4:$AP$20,$A49,'Inversión-Financiación'!AL$4:AL$20)</f>
        <v>0</v>
      </c>
      <c r="AI49" s="88">
        <f ca="1">SUMIF('Inversión-Financiación'!$C$4:$AP$20,$A49,'Inversión-Financiación'!AM$4:AM$20)</f>
        <v>0</v>
      </c>
      <c r="AJ49" s="88">
        <f ca="1">SUMIF('Inversión-Financiación'!$C$4:$AP$20,$A49,'Inversión-Financiación'!AN$4:AN$20)</f>
        <v>0</v>
      </c>
      <c r="AK49" s="88">
        <f ca="1">SUMIF('Inversión-Financiación'!$C$4:$AP$20,$A49,'Inversión-Financiación'!AO$4:AO$20)</f>
        <v>0</v>
      </c>
      <c r="AL49" s="88">
        <f ca="1">SUMIF('Inversión-Financiación'!$C$4:$AP$20,$A49,'Inversión-Financiación'!AP$4:AP$20)</f>
        <v>0</v>
      </c>
    </row>
    <row r="50" spans="1:38">
      <c r="A50" t="s">
        <v>38</v>
      </c>
      <c r="C50" s="88">
        <f ca="1">SUMIF('Inversión-Financiación'!$C$25:$AP$38,$A50,'Inversión-Financiación'!G$25:G$37)+Seguimiento!F31</f>
        <v>0</v>
      </c>
      <c r="D50" s="88">
        <f ca="1">SUMIF('Inversión-Financiación'!$C$25:$AP$38,$A50,'Inversión-Financiación'!H$25:H$37)</f>
        <v>0</v>
      </c>
      <c r="E50" s="88">
        <f ca="1">SUMIF('Inversión-Financiación'!$C$25:$AP$38,$A50,'Inversión-Financiación'!I$25:I$37)</f>
        <v>0</v>
      </c>
      <c r="F50" s="88">
        <f ca="1">SUMIF('Inversión-Financiación'!$C$25:$AP$38,$A50,'Inversión-Financiación'!J$25:J$37)</f>
        <v>0</v>
      </c>
      <c r="G50" s="88">
        <f ca="1">SUMIF('Inversión-Financiación'!$C$25:$AP$38,$A50,'Inversión-Financiación'!K$25:K$37)</f>
        <v>0</v>
      </c>
      <c r="H50" s="88">
        <f ca="1">SUMIF('Inversión-Financiación'!$C$25:$AP$38,$A50,'Inversión-Financiación'!L$25:L$37)</f>
        <v>0</v>
      </c>
      <c r="I50" s="88">
        <f ca="1">SUMIF('Inversión-Financiación'!$C$25:$AP$38,$A50,'Inversión-Financiación'!M$25:M$37)</f>
        <v>0</v>
      </c>
      <c r="J50" s="88">
        <f ca="1">SUMIF('Inversión-Financiación'!$C$25:$AP$38,$A50,'Inversión-Financiación'!N$25:N$37)</f>
        <v>0</v>
      </c>
      <c r="K50" s="88">
        <f ca="1">SUMIF('Inversión-Financiación'!$C$25:$AP$38,$A50,'Inversión-Financiación'!O$25:O$37)</f>
        <v>0</v>
      </c>
      <c r="L50" s="88">
        <f ca="1">SUMIF('Inversión-Financiación'!$C$25:$AP$38,$A50,'Inversión-Financiación'!P$25:P$37)</f>
        <v>0</v>
      </c>
      <c r="M50" s="88">
        <f ca="1">SUMIF('Inversión-Financiación'!$C$25:$AP$38,$A50,'Inversión-Financiación'!Q$25:Q$37)</f>
        <v>0</v>
      </c>
      <c r="N50" s="88">
        <f ca="1">SUMIF('Inversión-Financiación'!$C$25:$AP$38,$A50,'Inversión-Financiación'!R$25:R$37)</f>
        <v>0</v>
      </c>
      <c r="O50" s="88">
        <f ca="1">SUMIF('Inversión-Financiación'!$C$25:$AP$38,$A50,'Inversión-Financiación'!S$25:S$37)</f>
        <v>0</v>
      </c>
      <c r="P50" s="88">
        <f ca="1">SUMIF('Inversión-Financiación'!$C$25:$AP$38,$A50,'Inversión-Financiación'!T$25:T$37)</f>
        <v>0</v>
      </c>
      <c r="Q50" s="88">
        <f ca="1">SUMIF('Inversión-Financiación'!$C$25:$AP$38,$A50,'Inversión-Financiación'!U$25:U$37)</f>
        <v>0</v>
      </c>
      <c r="R50" s="88">
        <f ca="1">SUMIF('Inversión-Financiación'!$C$25:$AP$38,$A50,'Inversión-Financiación'!V$25:V$37)</f>
        <v>0</v>
      </c>
      <c r="S50" s="88">
        <f ca="1">SUMIF('Inversión-Financiación'!$C$25:$AP$38,$A50,'Inversión-Financiación'!W$25:W$37)</f>
        <v>0</v>
      </c>
      <c r="T50" s="88">
        <f ca="1">SUMIF('Inversión-Financiación'!$C$25:$AP$38,$A50,'Inversión-Financiación'!X$25:X$37)</f>
        <v>0</v>
      </c>
      <c r="U50" s="88">
        <f ca="1">SUMIF('Inversión-Financiación'!$C$25:$AP$38,$A50,'Inversión-Financiación'!Y$25:Y$37)</f>
        <v>0</v>
      </c>
      <c r="V50" s="88">
        <f ca="1">SUMIF('Inversión-Financiación'!$C$25:$AP$38,$A50,'Inversión-Financiación'!Z$25:Z$37)</f>
        <v>0</v>
      </c>
      <c r="W50" s="88">
        <f ca="1">SUMIF('Inversión-Financiación'!$C$25:$AP$38,$A50,'Inversión-Financiación'!AA$25:AA$37)</f>
        <v>0</v>
      </c>
      <c r="X50" s="88">
        <f ca="1">SUMIF('Inversión-Financiación'!$C$25:$AP$38,$A50,'Inversión-Financiación'!AB$25:AB$37)</f>
        <v>0</v>
      </c>
      <c r="Y50" s="88">
        <f ca="1">SUMIF('Inversión-Financiación'!$C$25:$AP$38,$A50,'Inversión-Financiación'!AC$25:AC$37)</f>
        <v>0</v>
      </c>
      <c r="Z50" s="88">
        <f ca="1">SUMIF('Inversión-Financiación'!$C$25:$AP$38,$A50,'Inversión-Financiación'!AD$25:AD$37)</f>
        <v>0</v>
      </c>
      <c r="AA50" s="88">
        <f ca="1">SUMIF('Inversión-Financiación'!$C$25:$AP$38,$A50,'Inversión-Financiación'!AE$25:AE$37)</f>
        <v>0</v>
      </c>
      <c r="AB50" s="88">
        <f ca="1">SUMIF('Inversión-Financiación'!$C$25:$AP$38,$A50,'Inversión-Financiación'!AF$25:AF$37)</f>
        <v>0</v>
      </c>
      <c r="AC50" s="88">
        <f ca="1">SUMIF('Inversión-Financiación'!$C$25:$AP$38,$A50,'Inversión-Financiación'!AG$25:AG$37)</f>
        <v>0</v>
      </c>
      <c r="AD50" s="88">
        <f ca="1">SUMIF('Inversión-Financiación'!$C$25:$AP$38,$A50,'Inversión-Financiación'!AH$25:AH$37)</f>
        <v>0</v>
      </c>
      <c r="AE50" s="88">
        <f ca="1">SUMIF('Inversión-Financiación'!$C$25:$AP$38,$A50,'Inversión-Financiación'!AI$25:AI$37)</f>
        <v>0</v>
      </c>
      <c r="AF50" s="88">
        <f ca="1">SUMIF('Inversión-Financiación'!$C$25:$AP$38,$A50,'Inversión-Financiación'!AJ$25:AJ$37)</f>
        <v>0</v>
      </c>
      <c r="AG50" s="88">
        <f ca="1">SUMIF('Inversión-Financiación'!$C$25:$AP$38,$A50,'Inversión-Financiación'!AK$25:AK$37)</f>
        <v>0</v>
      </c>
      <c r="AH50" s="88">
        <f ca="1">SUMIF('Inversión-Financiación'!$C$25:$AP$38,$A50,'Inversión-Financiación'!AL$25:AL$37)</f>
        <v>0</v>
      </c>
      <c r="AI50" s="88">
        <f ca="1">SUMIF('Inversión-Financiación'!$C$25:$AP$38,$A50,'Inversión-Financiación'!AM$25:AM$37)</f>
        <v>0</v>
      </c>
      <c r="AJ50" s="88">
        <f ca="1">SUMIF('Inversión-Financiación'!$C$25:$AP$38,$A50,'Inversión-Financiación'!AN$25:AN$37)</f>
        <v>0</v>
      </c>
      <c r="AK50" s="88">
        <f ca="1">SUMIF('Inversión-Financiación'!$C$25:$AP$38,$A50,'Inversión-Financiación'!AO$25:AO$37)</f>
        <v>0</v>
      </c>
      <c r="AL50" s="88">
        <f ca="1">SUMIF('Inversión-Financiación'!$C$25:$AP$38,$A50,'Inversión-Financiación'!AP$25:AP$37)</f>
        <v>0</v>
      </c>
    </row>
    <row r="51" spans="1:38">
      <c r="A51" t="s">
        <v>40</v>
      </c>
      <c r="C51" s="88">
        <f ca="1">SUMIF('Inversión-Financiación'!$C$25:$AP$38,$A51,'Inversión-Financiación'!G$25:G$37)</f>
        <v>0</v>
      </c>
      <c r="D51" s="88">
        <f ca="1">SUMIF('Inversión-Financiación'!$C$25:$AP$38,$A51,'Inversión-Financiación'!H$25:H$37)</f>
        <v>0</v>
      </c>
      <c r="E51" s="88">
        <f ca="1">SUMIF('Inversión-Financiación'!$C$25:$AP$38,$A51,'Inversión-Financiación'!I$25:I$37)</f>
        <v>0</v>
      </c>
      <c r="F51" s="88">
        <f ca="1">SUMIF('Inversión-Financiación'!$C$25:$AP$38,$A51,'Inversión-Financiación'!J$25:J$37)</f>
        <v>0</v>
      </c>
      <c r="G51" s="88">
        <f ca="1">SUMIF('Inversión-Financiación'!$C$25:$AP$38,$A51,'Inversión-Financiación'!K$25:K$37)</f>
        <v>0</v>
      </c>
      <c r="H51" s="88">
        <f ca="1">SUMIF('Inversión-Financiación'!$C$25:$AP$38,$A51,'Inversión-Financiación'!L$25:L$37)</f>
        <v>0</v>
      </c>
      <c r="I51" s="88">
        <f ca="1">SUMIF('Inversión-Financiación'!$C$25:$AP$38,$A51,'Inversión-Financiación'!M$25:M$37)</f>
        <v>0</v>
      </c>
      <c r="J51" s="88">
        <f ca="1">SUMIF('Inversión-Financiación'!$C$25:$AP$38,$A51,'Inversión-Financiación'!N$25:N$37)</f>
        <v>0</v>
      </c>
      <c r="K51" s="88">
        <f ca="1">SUMIF('Inversión-Financiación'!$C$25:$AP$38,$A51,'Inversión-Financiación'!O$25:O$37)</f>
        <v>0</v>
      </c>
      <c r="L51" s="88">
        <f ca="1">SUMIF('Inversión-Financiación'!$C$25:$AP$38,$A51,'Inversión-Financiación'!P$25:P$37)</f>
        <v>0</v>
      </c>
      <c r="M51" s="88">
        <f ca="1">SUMIF('Inversión-Financiación'!$C$25:$AP$38,$A51,'Inversión-Financiación'!Q$25:Q$37)</f>
        <v>0</v>
      </c>
      <c r="N51" s="88">
        <f ca="1">SUMIF('Inversión-Financiación'!$C$25:$AP$38,$A51,'Inversión-Financiación'!R$25:R$37)</f>
        <v>0</v>
      </c>
      <c r="O51" s="88">
        <f ca="1">SUMIF('Inversión-Financiación'!$C$25:$AP$38,$A51,'Inversión-Financiación'!S$25:S$37)</f>
        <v>0</v>
      </c>
      <c r="P51" s="88">
        <f ca="1">SUMIF('Inversión-Financiación'!$C$25:$AP$38,$A51,'Inversión-Financiación'!T$25:T$37)</f>
        <v>0</v>
      </c>
      <c r="Q51" s="88">
        <f ca="1">SUMIF('Inversión-Financiación'!$C$25:$AP$38,$A51,'Inversión-Financiación'!U$25:U$37)</f>
        <v>0</v>
      </c>
      <c r="R51" s="88">
        <f ca="1">SUMIF('Inversión-Financiación'!$C$25:$AP$38,$A51,'Inversión-Financiación'!V$25:V$37)</f>
        <v>0</v>
      </c>
      <c r="S51" s="88">
        <f ca="1">SUMIF('Inversión-Financiación'!$C$25:$AP$38,$A51,'Inversión-Financiación'!W$25:W$37)</f>
        <v>0</v>
      </c>
      <c r="T51" s="88">
        <f ca="1">SUMIF('Inversión-Financiación'!$C$25:$AP$38,$A51,'Inversión-Financiación'!X$25:X$37)</f>
        <v>0</v>
      </c>
      <c r="U51" s="88">
        <f ca="1">SUMIF('Inversión-Financiación'!$C$25:$AP$38,$A51,'Inversión-Financiación'!Y$25:Y$37)</f>
        <v>0</v>
      </c>
      <c r="V51" s="88">
        <f ca="1">SUMIF('Inversión-Financiación'!$C$25:$AP$38,$A51,'Inversión-Financiación'!Z$25:Z$37)</f>
        <v>0</v>
      </c>
      <c r="W51" s="88">
        <f ca="1">SUMIF('Inversión-Financiación'!$C$25:$AP$38,$A51,'Inversión-Financiación'!AA$25:AA$37)</f>
        <v>0</v>
      </c>
      <c r="X51" s="88">
        <f ca="1">SUMIF('Inversión-Financiación'!$C$25:$AP$38,$A51,'Inversión-Financiación'!AB$25:AB$37)</f>
        <v>0</v>
      </c>
      <c r="Y51" s="88">
        <f ca="1">SUMIF('Inversión-Financiación'!$C$25:$AP$38,$A51,'Inversión-Financiación'!AC$25:AC$37)</f>
        <v>0</v>
      </c>
      <c r="Z51" s="88">
        <f ca="1">SUMIF('Inversión-Financiación'!$C$25:$AP$38,$A51,'Inversión-Financiación'!AD$25:AD$37)</f>
        <v>0</v>
      </c>
      <c r="AA51" s="88">
        <f ca="1">SUMIF('Inversión-Financiación'!$C$25:$AP$38,$A51,'Inversión-Financiación'!AE$25:AE$37)</f>
        <v>0</v>
      </c>
      <c r="AB51" s="88">
        <f ca="1">SUMIF('Inversión-Financiación'!$C$25:$AP$38,$A51,'Inversión-Financiación'!AF$25:AF$37)</f>
        <v>0</v>
      </c>
      <c r="AC51" s="88">
        <f ca="1">SUMIF('Inversión-Financiación'!$C$25:$AP$38,$A51,'Inversión-Financiación'!AG$25:AG$37)</f>
        <v>0</v>
      </c>
      <c r="AD51" s="88">
        <f ca="1">SUMIF('Inversión-Financiación'!$C$25:$AP$38,$A51,'Inversión-Financiación'!AH$25:AH$37)</f>
        <v>0</v>
      </c>
      <c r="AE51" s="88">
        <f ca="1">SUMIF('Inversión-Financiación'!$C$25:$AP$38,$A51,'Inversión-Financiación'!AI$25:AI$37)</f>
        <v>0</v>
      </c>
      <c r="AF51" s="88">
        <f ca="1">SUMIF('Inversión-Financiación'!$C$25:$AP$38,$A51,'Inversión-Financiación'!AJ$25:AJ$37)</f>
        <v>0</v>
      </c>
      <c r="AG51" s="88">
        <f ca="1">SUMIF('Inversión-Financiación'!$C$25:$AP$38,$A51,'Inversión-Financiación'!AK$25:AK$37)</f>
        <v>0</v>
      </c>
      <c r="AH51" s="88">
        <f ca="1">SUMIF('Inversión-Financiación'!$C$25:$AP$38,$A51,'Inversión-Financiación'!AL$25:AL$37)</f>
        <v>0</v>
      </c>
      <c r="AI51" s="88">
        <f ca="1">SUMIF('Inversión-Financiación'!$C$25:$AP$38,$A51,'Inversión-Financiación'!AM$25:AM$37)</f>
        <v>0</v>
      </c>
      <c r="AJ51" s="88">
        <f ca="1">SUMIF('Inversión-Financiación'!$C$25:$AP$38,$A51,'Inversión-Financiación'!AN$25:AN$37)</f>
        <v>0</v>
      </c>
      <c r="AK51" s="88">
        <f ca="1">SUMIF('Inversión-Financiación'!$C$25:$AP$38,$A51,'Inversión-Financiación'!AO$25:AO$37)</f>
        <v>0</v>
      </c>
      <c r="AL51" s="88">
        <f ca="1">SUMIF('Inversión-Financiación'!$C$25:$AP$38,$A51,'Inversión-Financiación'!AP$25:AP$37)</f>
        <v>0</v>
      </c>
    </row>
    <row r="52" spans="1:38">
      <c r="A52" t="s">
        <v>6</v>
      </c>
      <c r="C52" s="88">
        <f ca="1">SUMIF('Inversión-Financiación'!$C$25:$AP$38,$A52,'Inversión-Financiación'!G$25:G$37)+Seguimiento!F32</f>
        <v>0</v>
      </c>
      <c r="D52" s="88">
        <f ca="1">SUMIF('Inversión-Financiación'!$C$25:$AP$38,$A52,'Inversión-Financiación'!H$25:H$37)</f>
        <v>0</v>
      </c>
      <c r="E52" s="88">
        <f ca="1">SUMIF('Inversión-Financiación'!$C$25:$AP$38,$A52,'Inversión-Financiación'!I$25:I$37)</f>
        <v>0</v>
      </c>
      <c r="F52" s="88">
        <f ca="1">SUMIF('Inversión-Financiación'!$C$25:$AP$38,$A52,'Inversión-Financiación'!J$25:J$37)</f>
        <v>0</v>
      </c>
      <c r="G52" s="88">
        <f ca="1">SUMIF('Inversión-Financiación'!$C$25:$AP$38,$A52,'Inversión-Financiación'!K$25:K$37)</f>
        <v>0</v>
      </c>
      <c r="H52" s="88">
        <f ca="1">SUMIF('Inversión-Financiación'!$C$25:$AP$38,$A52,'Inversión-Financiación'!L$25:L$37)</f>
        <v>0</v>
      </c>
      <c r="I52" s="88">
        <f ca="1">SUMIF('Inversión-Financiación'!$C$25:$AP$38,$A52,'Inversión-Financiación'!M$25:M$37)</f>
        <v>0</v>
      </c>
      <c r="J52" s="88">
        <f ca="1">SUMIF('Inversión-Financiación'!$C$25:$AP$38,$A52,'Inversión-Financiación'!N$25:N$37)</f>
        <v>0</v>
      </c>
      <c r="K52" s="88">
        <f ca="1">SUMIF('Inversión-Financiación'!$C$25:$AP$38,$A52,'Inversión-Financiación'!O$25:O$37)</f>
        <v>0</v>
      </c>
      <c r="L52" s="88">
        <f ca="1">SUMIF('Inversión-Financiación'!$C$25:$AP$38,$A52,'Inversión-Financiación'!P$25:P$37)</f>
        <v>0</v>
      </c>
      <c r="M52" s="88">
        <f ca="1">SUMIF('Inversión-Financiación'!$C$25:$AP$38,$A52,'Inversión-Financiación'!Q$25:Q$37)</f>
        <v>0</v>
      </c>
      <c r="N52" s="88">
        <f ca="1">SUMIF('Inversión-Financiación'!$C$25:$AP$38,$A52,'Inversión-Financiación'!R$25:R$37)</f>
        <v>0</v>
      </c>
      <c r="O52" s="88">
        <f ca="1">SUMIF('Inversión-Financiación'!$C$25:$AP$38,$A52,'Inversión-Financiación'!S$25:S$37)</f>
        <v>0</v>
      </c>
      <c r="P52" s="88">
        <f ca="1">SUMIF('Inversión-Financiación'!$C$25:$AP$38,$A52,'Inversión-Financiación'!T$25:T$37)</f>
        <v>0</v>
      </c>
      <c r="Q52" s="88">
        <f ca="1">SUMIF('Inversión-Financiación'!$C$25:$AP$38,$A52,'Inversión-Financiación'!U$25:U$37)</f>
        <v>0</v>
      </c>
      <c r="R52" s="88">
        <f ca="1">SUMIF('Inversión-Financiación'!$C$25:$AP$38,$A52,'Inversión-Financiación'!V$25:V$37)</f>
        <v>0</v>
      </c>
      <c r="S52" s="88">
        <f ca="1">SUMIF('Inversión-Financiación'!$C$25:$AP$38,$A52,'Inversión-Financiación'!W$25:W$37)</f>
        <v>0</v>
      </c>
      <c r="T52" s="88">
        <f ca="1">SUMIF('Inversión-Financiación'!$C$25:$AP$38,$A52,'Inversión-Financiación'!X$25:X$37)</f>
        <v>0</v>
      </c>
      <c r="U52" s="88">
        <f ca="1">SUMIF('Inversión-Financiación'!$C$25:$AP$38,$A52,'Inversión-Financiación'!Y$25:Y$37)</f>
        <v>0</v>
      </c>
      <c r="V52" s="88">
        <f ca="1">SUMIF('Inversión-Financiación'!$C$25:$AP$38,$A52,'Inversión-Financiación'!Z$25:Z$37)</f>
        <v>0</v>
      </c>
      <c r="W52" s="88">
        <f ca="1">SUMIF('Inversión-Financiación'!$C$25:$AP$38,$A52,'Inversión-Financiación'!AA$25:AA$37)</f>
        <v>0</v>
      </c>
      <c r="X52" s="88">
        <f ca="1">SUMIF('Inversión-Financiación'!$C$25:$AP$38,$A52,'Inversión-Financiación'!AB$25:AB$37)</f>
        <v>0</v>
      </c>
      <c r="Y52" s="88">
        <f ca="1">SUMIF('Inversión-Financiación'!$C$25:$AP$38,$A52,'Inversión-Financiación'!AC$25:AC$37)</f>
        <v>0</v>
      </c>
      <c r="Z52" s="88">
        <f ca="1">SUMIF('Inversión-Financiación'!$C$25:$AP$38,$A52,'Inversión-Financiación'!AD$25:AD$37)</f>
        <v>0</v>
      </c>
      <c r="AA52" s="88">
        <f ca="1">SUMIF('Inversión-Financiación'!$C$25:$AP$38,$A52,'Inversión-Financiación'!AE$25:AE$37)</f>
        <v>0</v>
      </c>
      <c r="AB52" s="88">
        <f ca="1">SUMIF('Inversión-Financiación'!$C$25:$AP$38,$A52,'Inversión-Financiación'!AF$25:AF$37)</f>
        <v>0</v>
      </c>
      <c r="AC52" s="88">
        <f ca="1">SUMIF('Inversión-Financiación'!$C$25:$AP$38,$A52,'Inversión-Financiación'!AG$25:AG$37)</f>
        <v>0</v>
      </c>
      <c r="AD52" s="88">
        <f ca="1">SUMIF('Inversión-Financiación'!$C$25:$AP$38,$A52,'Inversión-Financiación'!AH$25:AH$37)</f>
        <v>0</v>
      </c>
      <c r="AE52" s="88">
        <f ca="1">SUMIF('Inversión-Financiación'!$C$25:$AP$38,$A52,'Inversión-Financiación'!AI$25:AI$37)</f>
        <v>0</v>
      </c>
      <c r="AF52" s="88">
        <f ca="1">SUMIF('Inversión-Financiación'!$C$25:$AP$38,$A52,'Inversión-Financiación'!AJ$25:AJ$37)</f>
        <v>0</v>
      </c>
      <c r="AG52" s="88">
        <f ca="1">SUMIF('Inversión-Financiación'!$C$25:$AP$38,$A52,'Inversión-Financiación'!AK$25:AK$37)</f>
        <v>0</v>
      </c>
      <c r="AH52" s="88">
        <f ca="1">SUMIF('Inversión-Financiación'!$C$25:$AP$38,$A52,'Inversión-Financiación'!AL$25:AL$37)</f>
        <v>0</v>
      </c>
      <c r="AI52" s="88">
        <f ca="1">SUMIF('Inversión-Financiación'!$C$25:$AP$38,$A52,'Inversión-Financiación'!AM$25:AM$37)</f>
        <v>0</v>
      </c>
      <c r="AJ52" s="88">
        <f ca="1">SUMIF('Inversión-Financiación'!$C$25:$AP$38,$A52,'Inversión-Financiación'!AN$25:AN$37)</f>
        <v>0</v>
      </c>
      <c r="AK52" s="88">
        <f ca="1">SUMIF('Inversión-Financiación'!$C$25:$AP$38,$A52,'Inversión-Financiación'!AO$25:AO$37)</f>
        <v>0</v>
      </c>
      <c r="AL52" s="88">
        <f ca="1">SUMIF('Inversión-Financiación'!$C$25:$AP$38,$A52,'Inversión-Financiación'!AP$25:AP$37)</f>
        <v>0</v>
      </c>
    </row>
    <row r="53" spans="1:38">
      <c r="A53" t="s">
        <v>39</v>
      </c>
      <c r="C53" s="88">
        <f ca="1">SUMIF('Inversión-Financiación'!$C$25:$AP$38,$A53,'Inversión-Financiación'!G$25:G$37)+Seguimiento!F33</f>
        <v>0</v>
      </c>
      <c r="D53" s="88">
        <f ca="1">SUMIF('Inversión-Financiación'!$C$25:$AP$38,$A53,'Inversión-Financiación'!H$25:H$37)</f>
        <v>0</v>
      </c>
      <c r="E53" s="88">
        <f ca="1">SUMIF('Inversión-Financiación'!$C$25:$AP$38,$A53,'Inversión-Financiación'!I$25:I$37)</f>
        <v>0</v>
      </c>
      <c r="F53" s="88">
        <f ca="1">SUMIF('Inversión-Financiación'!$C$25:$AP$38,$A53,'Inversión-Financiación'!J$25:J$37)</f>
        <v>0</v>
      </c>
      <c r="G53" s="88">
        <f ca="1">SUMIF('Inversión-Financiación'!$C$25:$AP$38,$A53,'Inversión-Financiación'!K$25:K$37)</f>
        <v>0</v>
      </c>
      <c r="H53" s="88">
        <f ca="1">SUMIF('Inversión-Financiación'!$C$25:$AP$38,$A53,'Inversión-Financiación'!L$25:L$37)</f>
        <v>0</v>
      </c>
      <c r="I53" s="88">
        <f ca="1">SUMIF('Inversión-Financiación'!$C$25:$AP$38,$A53,'Inversión-Financiación'!M$25:M$37)</f>
        <v>0</v>
      </c>
      <c r="J53" s="88">
        <f ca="1">SUMIF('Inversión-Financiación'!$C$25:$AP$38,$A53,'Inversión-Financiación'!N$25:N$37)</f>
        <v>0</v>
      </c>
      <c r="K53" s="88">
        <f ca="1">SUMIF('Inversión-Financiación'!$C$25:$AP$38,$A53,'Inversión-Financiación'!O$25:O$37)</f>
        <v>0</v>
      </c>
      <c r="L53" s="88">
        <f ca="1">SUMIF('Inversión-Financiación'!$C$25:$AP$38,$A53,'Inversión-Financiación'!P$25:P$37)</f>
        <v>0</v>
      </c>
      <c r="M53" s="88">
        <f ca="1">SUMIF('Inversión-Financiación'!$C$25:$AP$38,$A53,'Inversión-Financiación'!Q$25:Q$37)</f>
        <v>0</v>
      </c>
      <c r="N53" s="88">
        <f ca="1">SUMIF('Inversión-Financiación'!$C$25:$AP$38,$A53,'Inversión-Financiación'!R$25:R$37)</f>
        <v>0</v>
      </c>
      <c r="O53" s="88">
        <f ca="1">SUMIF('Inversión-Financiación'!$C$25:$AP$38,$A53,'Inversión-Financiación'!S$25:S$37)</f>
        <v>0</v>
      </c>
      <c r="P53" s="88">
        <f ca="1">SUMIF('Inversión-Financiación'!$C$25:$AP$38,$A53,'Inversión-Financiación'!T$25:T$37)</f>
        <v>0</v>
      </c>
      <c r="Q53" s="88">
        <f ca="1">SUMIF('Inversión-Financiación'!$C$25:$AP$38,$A53,'Inversión-Financiación'!U$25:U$37)</f>
        <v>0</v>
      </c>
      <c r="R53" s="88">
        <f ca="1">SUMIF('Inversión-Financiación'!$C$25:$AP$38,$A53,'Inversión-Financiación'!V$25:V$37)</f>
        <v>0</v>
      </c>
      <c r="S53" s="88">
        <f ca="1">SUMIF('Inversión-Financiación'!$C$25:$AP$38,$A53,'Inversión-Financiación'!W$25:W$37)</f>
        <v>0</v>
      </c>
      <c r="T53" s="88">
        <f ca="1">SUMIF('Inversión-Financiación'!$C$25:$AP$38,$A53,'Inversión-Financiación'!X$25:X$37)</f>
        <v>0</v>
      </c>
      <c r="U53" s="88">
        <f ca="1">SUMIF('Inversión-Financiación'!$C$25:$AP$38,$A53,'Inversión-Financiación'!Y$25:Y$37)</f>
        <v>0</v>
      </c>
      <c r="V53" s="88">
        <f ca="1">SUMIF('Inversión-Financiación'!$C$25:$AP$38,$A53,'Inversión-Financiación'!Z$25:Z$37)</f>
        <v>0</v>
      </c>
      <c r="W53" s="88">
        <f ca="1">SUMIF('Inversión-Financiación'!$C$25:$AP$38,$A53,'Inversión-Financiación'!AA$25:AA$37)</f>
        <v>0</v>
      </c>
      <c r="X53" s="88">
        <f ca="1">SUMIF('Inversión-Financiación'!$C$25:$AP$38,$A53,'Inversión-Financiación'!AB$25:AB$37)</f>
        <v>0</v>
      </c>
      <c r="Y53" s="88">
        <f ca="1">SUMIF('Inversión-Financiación'!$C$25:$AP$38,$A53,'Inversión-Financiación'!AC$25:AC$37)</f>
        <v>0</v>
      </c>
      <c r="Z53" s="88">
        <f ca="1">SUMIF('Inversión-Financiación'!$C$25:$AP$38,$A53,'Inversión-Financiación'!AD$25:AD$37)</f>
        <v>0</v>
      </c>
      <c r="AA53" s="88">
        <f ca="1">SUMIF('Inversión-Financiación'!$C$25:$AP$38,$A53,'Inversión-Financiación'!AE$25:AE$37)</f>
        <v>0</v>
      </c>
      <c r="AB53" s="88">
        <f ca="1">SUMIF('Inversión-Financiación'!$C$25:$AP$38,$A53,'Inversión-Financiación'!AF$25:AF$37)</f>
        <v>0</v>
      </c>
      <c r="AC53" s="88">
        <f ca="1">SUMIF('Inversión-Financiación'!$C$25:$AP$38,$A53,'Inversión-Financiación'!AG$25:AG$37)</f>
        <v>0</v>
      </c>
      <c r="AD53" s="88">
        <f ca="1">SUMIF('Inversión-Financiación'!$C$25:$AP$38,$A53,'Inversión-Financiación'!AH$25:AH$37)</f>
        <v>0</v>
      </c>
      <c r="AE53" s="88">
        <f ca="1">SUMIF('Inversión-Financiación'!$C$25:$AP$38,$A53,'Inversión-Financiación'!AI$25:AI$37)</f>
        <v>0</v>
      </c>
      <c r="AF53" s="88">
        <f ca="1">SUMIF('Inversión-Financiación'!$C$25:$AP$38,$A53,'Inversión-Financiación'!AJ$25:AJ$37)</f>
        <v>0</v>
      </c>
      <c r="AG53" s="88">
        <f ca="1">SUMIF('Inversión-Financiación'!$C$25:$AP$38,$A53,'Inversión-Financiación'!AK$25:AK$37)</f>
        <v>0</v>
      </c>
      <c r="AH53" s="88">
        <f ca="1">SUMIF('Inversión-Financiación'!$C$25:$AP$38,$A53,'Inversión-Financiación'!AL$25:AL$37)</f>
        <v>0</v>
      </c>
      <c r="AI53" s="88">
        <f ca="1">SUMIF('Inversión-Financiación'!$C$25:$AP$38,$A53,'Inversión-Financiación'!AM$25:AM$37)</f>
        <v>0</v>
      </c>
      <c r="AJ53" s="88">
        <f ca="1">SUMIF('Inversión-Financiación'!$C$25:$AP$38,$A53,'Inversión-Financiación'!AN$25:AN$37)</f>
        <v>0</v>
      </c>
      <c r="AK53" s="88">
        <f ca="1">SUMIF('Inversión-Financiación'!$C$25:$AP$38,$A53,'Inversión-Financiación'!AO$25:AO$37)</f>
        <v>0</v>
      </c>
      <c r="AL53" s="88">
        <f ca="1">SUMIF('Inversión-Financiación'!$C$25:$AP$38,$A53,'Inversión-Financiación'!AP$25:AP$37)</f>
        <v>0</v>
      </c>
    </row>
    <row r="54" spans="1:38">
      <c r="A54" t="s">
        <v>41</v>
      </c>
      <c r="C54" s="88">
        <f ca="1">SUMIF('Inversión-Financiación'!$C$25:$AP$38,$A54,'Inversión-Financiación'!G$25:G$37)</f>
        <v>0</v>
      </c>
      <c r="D54" s="88">
        <f ca="1">SUMIF('Inversión-Financiación'!$C$25:$AP$38,$A54,'Inversión-Financiación'!H$25:H$37)</f>
        <v>0</v>
      </c>
      <c r="E54" s="88">
        <f ca="1">SUMIF('Inversión-Financiación'!$C$25:$AP$38,$A54,'Inversión-Financiación'!I$25:I$37)</f>
        <v>0</v>
      </c>
      <c r="F54" s="88">
        <f ca="1">SUMIF('Inversión-Financiación'!$C$25:$AP$38,$A54,'Inversión-Financiación'!J$25:J$37)</f>
        <v>0</v>
      </c>
      <c r="G54" s="88">
        <f ca="1">SUMIF('Inversión-Financiación'!$C$25:$AP$38,$A54,'Inversión-Financiación'!K$25:K$37)</f>
        <v>0</v>
      </c>
      <c r="H54" s="88">
        <f ca="1">SUMIF('Inversión-Financiación'!$C$25:$AP$38,$A54,'Inversión-Financiación'!L$25:L$37)</f>
        <v>0</v>
      </c>
      <c r="I54" s="88">
        <f ca="1">SUMIF('Inversión-Financiación'!$C$25:$AP$38,$A54,'Inversión-Financiación'!M$25:M$37)</f>
        <v>0</v>
      </c>
      <c r="J54" s="88">
        <f ca="1">SUMIF('Inversión-Financiación'!$C$25:$AP$38,$A54,'Inversión-Financiación'!N$25:N$37)</f>
        <v>0</v>
      </c>
      <c r="K54" s="88">
        <f ca="1">SUMIF('Inversión-Financiación'!$C$25:$AP$38,$A54,'Inversión-Financiación'!O$25:O$37)</f>
        <v>0</v>
      </c>
      <c r="L54" s="88">
        <f ca="1">SUMIF('Inversión-Financiación'!$C$25:$AP$38,$A54,'Inversión-Financiación'!P$25:P$37)</f>
        <v>0</v>
      </c>
      <c r="M54" s="88">
        <f ca="1">SUMIF('Inversión-Financiación'!$C$25:$AP$38,$A54,'Inversión-Financiación'!Q$25:Q$37)</f>
        <v>0</v>
      </c>
      <c r="N54" s="88">
        <f ca="1">SUMIF('Inversión-Financiación'!$C$25:$AP$38,$A54,'Inversión-Financiación'!R$25:R$37)</f>
        <v>0</v>
      </c>
      <c r="O54" s="88">
        <f ca="1">SUMIF('Inversión-Financiación'!$C$25:$AP$38,$A54,'Inversión-Financiación'!S$25:S$37)</f>
        <v>0</v>
      </c>
      <c r="P54" s="88">
        <f ca="1">SUMIF('Inversión-Financiación'!$C$25:$AP$38,$A54,'Inversión-Financiación'!T$25:T$37)</f>
        <v>0</v>
      </c>
      <c r="Q54" s="88">
        <f ca="1">SUMIF('Inversión-Financiación'!$C$25:$AP$38,$A54,'Inversión-Financiación'!U$25:U$37)</f>
        <v>0</v>
      </c>
      <c r="R54" s="88">
        <f ca="1">SUMIF('Inversión-Financiación'!$C$25:$AP$38,$A54,'Inversión-Financiación'!V$25:V$37)</f>
        <v>0</v>
      </c>
      <c r="S54" s="88">
        <f ca="1">SUMIF('Inversión-Financiación'!$C$25:$AP$38,$A54,'Inversión-Financiación'!W$25:W$37)</f>
        <v>0</v>
      </c>
      <c r="T54" s="88">
        <f ca="1">SUMIF('Inversión-Financiación'!$C$25:$AP$38,$A54,'Inversión-Financiación'!X$25:X$37)</f>
        <v>0</v>
      </c>
      <c r="U54" s="88">
        <f ca="1">SUMIF('Inversión-Financiación'!$C$25:$AP$38,$A54,'Inversión-Financiación'!Y$25:Y$37)</f>
        <v>0</v>
      </c>
      <c r="V54" s="88">
        <f ca="1">SUMIF('Inversión-Financiación'!$C$25:$AP$38,$A54,'Inversión-Financiación'!Z$25:Z$37)</f>
        <v>0</v>
      </c>
      <c r="W54" s="88">
        <f ca="1">SUMIF('Inversión-Financiación'!$C$25:$AP$38,$A54,'Inversión-Financiación'!AA$25:AA$37)</f>
        <v>0</v>
      </c>
      <c r="X54" s="88">
        <f ca="1">SUMIF('Inversión-Financiación'!$C$25:$AP$38,$A54,'Inversión-Financiación'!AB$25:AB$37)</f>
        <v>0</v>
      </c>
      <c r="Y54" s="88">
        <f ca="1">SUMIF('Inversión-Financiación'!$C$25:$AP$38,$A54,'Inversión-Financiación'!AC$25:AC$37)</f>
        <v>0</v>
      </c>
      <c r="Z54" s="88">
        <f ca="1">SUMIF('Inversión-Financiación'!$C$25:$AP$38,$A54,'Inversión-Financiación'!AD$25:AD$37)</f>
        <v>0</v>
      </c>
      <c r="AA54" s="88">
        <f ca="1">SUMIF('Inversión-Financiación'!$C$25:$AP$38,$A54,'Inversión-Financiación'!AE$25:AE$37)</f>
        <v>0</v>
      </c>
      <c r="AB54" s="88">
        <f ca="1">SUMIF('Inversión-Financiación'!$C$25:$AP$38,$A54,'Inversión-Financiación'!AF$25:AF$37)</f>
        <v>0</v>
      </c>
      <c r="AC54" s="88">
        <f ca="1">SUMIF('Inversión-Financiación'!$C$25:$AP$38,$A54,'Inversión-Financiación'!AG$25:AG$37)</f>
        <v>0</v>
      </c>
      <c r="AD54" s="88">
        <f ca="1">SUMIF('Inversión-Financiación'!$C$25:$AP$38,$A54,'Inversión-Financiación'!AH$25:AH$37)</f>
        <v>0</v>
      </c>
      <c r="AE54" s="88">
        <f ca="1">SUMIF('Inversión-Financiación'!$C$25:$AP$38,$A54,'Inversión-Financiación'!AI$25:AI$37)</f>
        <v>0</v>
      </c>
      <c r="AF54" s="88">
        <f ca="1">SUMIF('Inversión-Financiación'!$C$25:$AP$38,$A54,'Inversión-Financiación'!AJ$25:AJ$37)</f>
        <v>0</v>
      </c>
      <c r="AG54" s="88">
        <f ca="1">SUMIF('Inversión-Financiación'!$C$25:$AP$38,$A54,'Inversión-Financiación'!AK$25:AK$37)</f>
        <v>0</v>
      </c>
      <c r="AH54" s="88">
        <f ca="1">SUMIF('Inversión-Financiación'!$C$25:$AP$38,$A54,'Inversión-Financiación'!AL$25:AL$37)</f>
        <v>0</v>
      </c>
      <c r="AI54" s="88">
        <f ca="1">SUMIF('Inversión-Financiación'!$C$25:$AP$38,$A54,'Inversión-Financiación'!AM$25:AM$37)</f>
        <v>0</v>
      </c>
      <c r="AJ54" s="88">
        <f ca="1">SUMIF('Inversión-Financiación'!$C$25:$AP$38,$A54,'Inversión-Financiación'!AN$25:AN$37)</f>
        <v>0</v>
      </c>
      <c r="AK54" s="88">
        <f ca="1">SUMIF('Inversión-Financiación'!$C$25:$AP$38,$A54,'Inversión-Financiación'!AO$25:AO$37)</f>
        <v>0</v>
      </c>
      <c r="AL54" s="88">
        <f ca="1">SUMIF('Inversión-Financiación'!$C$25:$AP$38,$A54,'Inversión-Financiación'!AP$25:AP$37)</f>
        <v>0</v>
      </c>
    </row>
  </sheetData>
  <mergeCells count="3">
    <mergeCell ref="C2:N2"/>
    <mergeCell ref="O2:Z2"/>
    <mergeCell ref="AA2:AL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">
    <tabColor rgb="FFFFC000"/>
  </sheetPr>
  <dimension ref="B1:W32"/>
  <sheetViews>
    <sheetView zoomScaleNormal="100" workbookViewId="0">
      <pane xSplit="2" ySplit="3" topLeftCell="C23" activePane="bottomRight" state="frozen"/>
      <selection activeCell="D22" sqref="D22"/>
      <selection pane="topRight" activeCell="D22" sqref="D22"/>
      <selection pane="bottomLeft" activeCell="D22" sqref="D22"/>
      <selection pane="bottomRight" activeCell="B29" sqref="B29"/>
    </sheetView>
  </sheetViews>
  <sheetFormatPr baseColWidth="10" defaultColWidth="11.42578125" defaultRowHeight="18.75" outlineLevelRow="1" outlineLevelCol="1"/>
  <cols>
    <col min="1" max="1" width="4.85546875" style="7" customWidth="1"/>
    <col min="2" max="2" width="38.28515625" style="7" customWidth="1"/>
    <col min="3" max="3" width="13.28515625" style="7" customWidth="1"/>
    <col min="4" max="7" width="13.28515625" style="157" customWidth="1"/>
    <col min="8" max="11" width="13.28515625" style="157" hidden="1" customWidth="1" outlineLevel="1"/>
    <col min="12" max="17" width="9.42578125" style="157" hidden="1" customWidth="1" outlineLevel="1"/>
    <col min="18" max="18" width="13.5703125" style="7" bestFit="1" customWidth="1" collapsed="1"/>
    <col min="19" max="19" width="12" style="7" bestFit="1" customWidth="1"/>
    <col min="20" max="16384" width="11.42578125" style="7"/>
  </cols>
  <sheetData>
    <row r="1" spans="2:23">
      <c r="B1" s="10" t="s">
        <v>115</v>
      </c>
      <c r="C1" s="10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</row>
    <row r="2" spans="2:23" ht="58.5" customHeight="1">
      <c r="B2" s="97" t="s">
        <v>355</v>
      </c>
      <c r="C2" s="176">
        <f>+Catálogo!$B6</f>
        <v>0</v>
      </c>
      <c r="D2" s="176">
        <f>+Catálogo!$B7</f>
        <v>0</v>
      </c>
      <c r="E2" s="176">
        <f>+Catálogo!$B8</f>
        <v>0</v>
      </c>
      <c r="F2" s="176">
        <f>+Catálogo!$B9</f>
        <v>0</v>
      </c>
      <c r="G2" s="176">
        <f>+Catálogo!$B10</f>
        <v>0</v>
      </c>
      <c r="H2" s="176">
        <f>+Catálogo!$B11</f>
        <v>0</v>
      </c>
      <c r="I2" s="176">
        <f>+Catálogo!$B12</f>
        <v>0</v>
      </c>
      <c r="J2" s="176">
        <f>+Catálogo!$B13</f>
        <v>0</v>
      </c>
      <c r="K2" s="176">
        <f>+Catálogo!$B14</f>
        <v>0</v>
      </c>
      <c r="L2" s="176">
        <f>+Catálogo!$B15</f>
        <v>0</v>
      </c>
      <c r="M2" s="176">
        <f>+Catálogo!$B16</f>
        <v>0</v>
      </c>
      <c r="N2" s="176">
        <f>+Catálogo!$B17</f>
        <v>0</v>
      </c>
      <c r="O2" s="176">
        <f>+Catálogo!$B18</f>
        <v>0</v>
      </c>
      <c r="P2" s="176">
        <f>+Catálogo!$B19</f>
        <v>0</v>
      </c>
      <c r="Q2" s="176">
        <f>+Catálogo!$B20</f>
        <v>0</v>
      </c>
      <c r="R2" s="119" t="s">
        <v>121</v>
      </c>
      <c r="S2" s="119"/>
    </row>
    <row r="3" spans="2:23" ht="24" customHeight="1">
      <c r="B3" s="97" t="s">
        <v>354</v>
      </c>
      <c r="C3" s="151" t="str">
        <f>IF(ISERROR(+C4/$R4),"",(+C4/$R4))</f>
        <v/>
      </c>
      <c r="D3" s="151" t="str">
        <f>IF(ISERROR(+D4/$R4),"",(+D4/$R4))</f>
        <v/>
      </c>
      <c r="E3" s="151" t="str">
        <f t="shared" ref="E3:Q3" si="0">IF(ISERROR(+E4/$R4),"",(+E4/$R4))</f>
        <v/>
      </c>
      <c r="F3" s="151" t="str">
        <f t="shared" si="0"/>
        <v/>
      </c>
      <c r="G3" s="151" t="str">
        <f t="shared" si="0"/>
        <v/>
      </c>
      <c r="H3" s="151" t="str">
        <f t="shared" si="0"/>
        <v/>
      </c>
      <c r="I3" s="151" t="str">
        <f t="shared" si="0"/>
        <v/>
      </c>
      <c r="J3" s="151" t="str">
        <f t="shared" si="0"/>
        <v/>
      </c>
      <c r="K3" s="151" t="str">
        <f t="shared" si="0"/>
        <v/>
      </c>
      <c r="L3" s="151" t="str">
        <f t="shared" si="0"/>
        <v/>
      </c>
      <c r="M3" s="151" t="str">
        <f t="shared" si="0"/>
        <v/>
      </c>
      <c r="N3" s="151" t="str">
        <f t="shared" si="0"/>
        <v/>
      </c>
      <c r="O3" s="151" t="str">
        <f t="shared" si="0"/>
        <v/>
      </c>
      <c r="P3" s="151" t="str">
        <f t="shared" si="0"/>
        <v/>
      </c>
      <c r="Q3" s="151" t="str">
        <f t="shared" si="0"/>
        <v/>
      </c>
    </row>
    <row r="4" spans="2:23">
      <c r="B4" s="7" t="s">
        <v>120</v>
      </c>
      <c r="C4" s="20">
        <f>SUM('INGRESOS-GASTOS'!$G2:$R2)</f>
        <v>0</v>
      </c>
      <c r="D4" s="20">
        <f>SUM('INGRESOS-GASTOS'!$G3:$R3)</f>
        <v>0</v>
      </c>
      <c r="E4" s="20">
        <f>SUM('INGRESOS-GASTOS'!$G4:$R4)</f>
        <v>0</v>
      </c>
      <c r="F4" s="20">
        <f>SUM('INGRESOS-GASTOS'!$G5:$R5)</f>
        <v>0</v>
      </c>
      <c r="G4" s="20">
        <f>SUM('INGRESOS-GASTOS'!$G6:$R6)</f>
        <v>0</v>
      </c>
      <c r="H4" s="158">
        <f>SUM('INGRESOS-GASTOS'!$G7:$R7)</f>
        <v>0</v>
      </c>
      <c r="I4" s="158">
        <f>SUM('INGRESOS-GASTOS'!$G8:$R8)</f>
        <v>0</v>
      </c>
      <c r="J4" s="158">
        <f>SUM('INGRESOS-GASTOS'!$G9:$R9)</f>
        <v>0</v>
      </c>
      <c r="K4" s="158">
        <f>SUM('INGRESOS-GASTOS'!$G10:$R10)</f>
        <v>0</v>
      </c>
      <c r="L4" s="158">
        <f>SUM('INGRESOS-GASTOS'!$G11:$R11)</f>
        <v>0</v>
      </c>
      <c r="M4" s="158">
        <f>SUM('INGRESOS-GASTOS'!$G12:$R12)</f>
        <v>0</v>
      </c>
      <c r="N4" s="158">
        <f>SUM('INGRESOS-GASTOS'!$G13:$R13)</f>
        <v>0</v>
      </c>
      <c r="O4" s="158">
        <f>SUM('INGRESOS-GASTOS'!$G14:$R14)</f>
        <v>0</v>
      </c>
      <c r="P4" s="158">
        <f>SUM('INGRESOS-GASTOS'!$G15:$R15)</f>
        <v>0</v>
      </c>
      <c r="Q4" s="158">
        <f>SUM('INGRESOS-GASTOS'!$G16:$R16)</f>
        <v>0</v>
      </c>
      <c r="R4" s="12">
        <f>SUM('Resultados mensuales '!$C$4:$N$4)</f>
        <v>0</v>
      </c>
      <c r="S4" s="150" t="str">
        <f>IF(ISERROR(+R4/R$4),"",(+R4/R$4))</f>
        <v/>
      </c>
    </row>
    <row r="5" spans="2:23">
      <c r="B5" s="7" t="str">
        <f>+'Resultados mensuales '!B5</f>
        <v>Coste de compra sin IVA</v>
      </c>
      <c r="C5" s="20">
        <f>-SUM('INGRESOS-GASTOS'!$G67:$R67)</f>
        <v>0</v>
      </c>
      <c r="D5" s="20">
        <f>-SUM('INGRESOS-GASTOS'!$G68:$R68)</f>
        <v>0</v>
      </c>
      <c r="E5" s="20">
        <f>-SUM('INGRESOS-GASTOS'!$G69:$R69)</f>
        <v>0</v>
      </c>
      <c r="F5" s="20">
        <f>-SUM('INGRESOS-GASTOS'!$G70:$R70)</f>
        <v>0</v>
      </c>
      <c r="G5" s="20">
        <f>-SUM('INGRESOS-GASTOS'!$G71:$R71)</f>
        <v>0</v>
      </c>
      <c r="H5" s="158">
        <f>-SUM('INGRESOS-GASTOS'!$G72:$R72)</f>
        <v>0</v>
      </c>
      <c r="I5" s="158">
        <f>-SUM('INGRESOS-GASTOS'!$G73:$R73)</f>
        <v>0</v>
      </c>
      <c r="J5" s="158">
        <f>-SUM('INGRESOS-GASTOS'!$G74:$R74)</f>
        <v>0</v>
      </c>
      <c r="K5" s="158">
        <f>-SUM('INGRESOS-GASTOS'!$G75:$R75)</f>
        <v>0</v>
      </c>
      <c r="L5" s="158">
        <f>-SUM('INGRESOS-GASTOS'!$G76:$R78)</f>
        <v>0</v>
      </c>
      <c r="M5" s="158">
        <f>-SUM('INGRESOS-GASTOS'!$G77:$R77)</f>
        <v>0</v>
      </c>
      <c r="N5" s="158">
        <f>-SUM('INGRESOS-GASTOS'!$G78:$R78)</f>
        <v>0</v>
      </c>
      <c r="O5" s="158">
        <f>-SUM('INGRESOS-GASTOS'!$G79:$R79)</f>
        <v>0</v>
      </c>
      <c r="P5" s="158">
        <f>-SUM('INGRESOS-GASTOS'!$G80:$R80)</f>
        <v>0</v>
      </c>
      <c r="Q5" s="158">
        <f>-SUM('INGRESOS-GASTOS'!$G81:$R81)</f>
        <v>0</v>
      </c>
      <c r="R5" s="12">
        <f>SUM('Resultados mensuales '!$C$5:$N$5)</f>
        <v>0</v>
      </c>
      <c r="S5" s="151" t="str">
        <f t="shared" ref="S5:S26" si="1">IF(ISERROR(+R5/R$4),"",(+R5/R$4))</f>
        <v/>
      </c>
    </row>
    <row r="6" spans="2:23">
      <c r="B6" s="7" t="str">
        <f>+'Resultados mensuales '!B6</f>
        <v>Otros costes variables</v>
      </c>
      <c r="C6" s="20">
        <f>-SUM('INGRESOS-GASTOS'!$G132:$R132)</f>
        <v>0</v>
      </c>
      <c r="D6" s="20">
        <f>-SUM('INGRESOS-GASTOS'!$G133:$R133)</f>
        <v>0</v>
      </c>
      <c r="E6" s="20">
        <f>-SUM('INGRESOS-GASTOS'!$G134:$R134)</f>
        <v>0</v>
      </c>
      <c r="F6" s="20">
        <f>-SUM('INGRESOS-GASTOS'!$G135:$R135)</f>
        <v>0</v>
      </c>
      <c r="G6" s="20">
        <f>-SUM('INGRESOS-GASTOS'!$G136:$R136)</f>
        <v>0</v>
      </c>
      <c r="H6" s="20">
        <f>-SUM('INGRESOS-GASTOS'!$G137:$R137)</f>
        <v>0</v>
      </c>
      <c r="I6" s="20">
        <f>-SUM('INGRESOS-GASTOS'!$G138:$R138)</f>
        <v>0</v>
      </c>
      <c r="J6" s="20">
        <f>-SUM('INGRESOS-GASTOS'!$G139:$R139)</f>
        <v>0</v>
      </c>
      <c r="K6" s="20">
        <f>-SUM('INGRESOS-GASTOS'!$G140:$R140)</f>
        <v>0</v>
      </c>
      <c r="L6" s="20">
        <f>-SUM('INGRESOS-GASTOS'!$G141:$R141)</f>
        <v>0</v>
      </c>
      <c r="M6" s="20">
        <f>-SUM('INGRESOS-GASTOS'!$G142:$R142)</f>
        <v>0</v>
      </c>
      <c r="N6" s="20">
        <f>-SUM('INGRESOS-GASTOS'!$G143:$R143)</f>
        <v>0</v>
      </c>
      <c r="O6" s="20">
        <f>-SUM('INGRESOS-GASTOS'!$G144:$R144)</f>
        <v>0</v>
      </c>
      <c r="P6" s="20">
        <f>-SUM('INGRESOS-GASTOS'!$G145:$R145)</f>
        <v>0</v>
      </c>
      <c r="Q6" s="20">
        <f>-SUM('INGRESOS-GASTOS'!$G146:$R146)</f>
        <v>0</v>
      </c>
      <c r="R6" s="12">
        <f>SUM('Resultados mensuales '!$C$6:$N$6)</f>
        <v>0</v>
      </c>
      <c r="S6" s="151" t="str">
        <f>IF(ISERROR(+R6/R$4),"",(+R6/R$4))</f>
        <v/>
      </c>
    </row>
    <row r="7" spans="2:23" s="153" customFormat="1" ht="6" hidden="1" customHeight="1" outlineLevel="1">
      <c r="B7" s="154"/>
      <c r="C7" s="154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267"/>
      <c r="S7" s="155"/>
      <c r="V7" s="154"/>
      <c r="W7" s="159"/>
    </row>
    <row r="8" spans="2:23" s="153" customFormat="1" ht="15.75" hidden="1" outlineLevel="1">
      <c r="B8" s="154" t="str">
        <f>+Catálogo!L$5</f>
        <v>Coste variable 1</v>
      </c>
      <c r="C8" s="154">
        <f>IF(C4=0,0,-(+Catálogo!$L$6/Catálogo!$C$6)*$C$4)</f>
        <v>0</v>
      </c>
      <c r="D8" s="159">
        <f>IF(D4=0,0,-(+Catálogo!$L$7/Catálogo!$C$7)*$D$4)</f>
        <v>0</v>
      </c>
      <c r="E8" s="159">
        <f>IF(C4=0,0,-(+Catálogo!$L$8/Catálogo!$C$8)*E$4)</f>
        <v>0</v>
      </c>
      <c r="F8" s="159">
        <f>IF(F4=0,0,-(+Catálogo!$L$9/Catálogo!$C$9)*F$4)</f>
        <v>0</v>
      </c>
      <c r="G8" s="159">
        <f>IF(G4=0,0,-(+Catálogo!$L$10/Catálogo!$C$10)*G$4)</f>
        <v>0</v>
      </c>
      <c r="H8" s="159">
        <f>IF(H4=0,0,-(+Catálogo!$L$11/Catálogo!$C$11)*H$4)</f>
        <v>0</v>
      </c>
      <c r="I8" s="159">
        <f>IF(I4=0,0,-(+Catálogo!$L$12/Catálogo!$C$12)*I$4)</f>
        <v>0</v>
      </c>
      <c r="J8" s="159">
        <f>IF(J4=0,0,-(+Catálogo!$L$13/Catálogo!$C$13)*J$4)</f>
        <v>0</v>
      </c>
      <c r="K8" s="159">
        <f>IF(K4=0,0,-(+Catálogo!$L$14/Catálogo!$C$14)*K$4)</f>
        <v>0</v>
      </c>
      <c r="L8" s="159">
        <f>-IF(L4=0,0,(+Catálogo!$L$15/Catálogo!$C$15)*L$4)</f>
        <v>0</v>
      </c>
      <c r="M8" s="159">
        <f>IF(M4=0,0,-(+Catálogo!$L$16/Catálogo!$C$16)*M$4)</f>
        <v>0</v>
      </c>
      <c r="N8" s="159">
        <f>IF(N4=0,0,-(+Catálogo!$L$17/Catálogo!$C$17)*N$4)</f>
        <v>0</v>
      </c>
      <c r="O8" s="159">
        <f>IF(O4=0,0,-(+Catálogo!$L$18/Catálogo!$C$18)*O$4)</f>
        <v>0</v>
      </c>
      <c r="P8" s="159">
        <f>IF(P4=0,0,-(+Catálogo!$L$19/Catálogo!$C$19)*P$4)</f>
        <v>0</v>
      </c>
      <c r="Q8" s="159">
        <f>IF(Q4=0,0,-(+Catálogo!$L$20/Catálogo!$C$20)*Q$4)</f>
        <v>0</v>
      </c>
      <c r="R8" s="267">
        <f t="shared" ref="R8:R13" si="2">(SUM(C8:Q8))</f>
        <v>0</v>
      </c>
      <c r="S8" s="155" t="str">
        <f t="shared" ref="S8:S13" si="3">IF(ISERROR(+R8/R$4),"",(+R8/R$4))</f>
        <v/>
      </c>
      <c r="V8" s="154"/>
      <c r="W8" s="159"/>
    </row>
    <row r="9" spans="2:23" s="153" customFormat="1" ht="15.75" hidden="1" outlineLevel="1">
      <c r="B9" s="154" t="str">
        <f>+Catálogo!M$5</f>
        <v>Coste variable 2</v>
      </c>
      <c r="C9" s="154">
        <f>IF(C4=0,0,-(+Catálogo!$M$6/Catálogo!$C$6)*C$4)</f>
        <v>0</v>
      </c>
      <c r="D9" s="159">
        <f>IF(D4=0,0,-(+Catálogo!$M$7/Catálogo!$C$7)*D$4)</f>
        <v>0</v>
      </c>
      <c r="E9" s="159">
        <f>IF(C4=0,0,-(+Catálogo!$M$8/Catálogo!$C$8)*E$4)</f>
        <v>0</v>
      </c>
      <c r="F9" s="159">
        <f>IF(F4=0,0,-(+Catálogo!$M$9/Catálogo!$C$9)*F$4)</f>
        <v>0</v>
      </c>
      <c r="G9" s="159">
        <f>IF(G4=0,0,-(+Catálogo!$M$10/Catálogo!$C$10)*G$4)</f>
        <v>0</v>
      </c>
      <c r="H9" s="159">
        <f>IF(H4=0,0,-(+Catálogo!$M$11/Catálogo!$C$11)*H$4)</f>
        <v>0</v>
      </c>
      <c r="I9" s="159">
        <f>IF(I4=0,0,-(+Catálogo!$M$12/Catálogo!$C$12)*I$4)</f>
        <v>0</v>
      </c>
      <c r="J9" s="159">
        <f>IF(J4=0,0,-(+Catálogo!$M$13/Catálogo!$C$13)*J$4)</f>
        <v>0</v>
      </c>
      <c r="K9" s="159">
        <f>IF(K4=0,0,-(+Catálogo!$M$14/Catálogo!$C$14)*K$4)</f>
        <v>0</v>
      </c>
      <c r="L9" s="159">
        <f>IF(L4=0,0,-(+Catálogo!$M$15/Catálogo!$C$15)*L$4)</f>
        <v>0</v>
      </c>
      <c r="M9" s="159">
        <f>IF(M4=0,0,-(+Catálogo!$M$16/Catálogo!$C$16)*M$4)</f>
        <v>0</v>
      </c>
      <c r="N9" s="159">
        <f>IF(N4=0,0,-(+Catálogo!$M$17/Catálogo!$C$17)*N$4)</f>
        <v>0</v>
      </c>
      <c r="O9" s="159">
        <f>IF(O4=0,0,-(+Catálogo!$M$18/Catálogo!$C$18)*O$4)</f>
        <v>0</v>
      </c>
      <c r="P9" s="159">
        <f>IF(P4=0,0,-(+Catálogo!$M$19/Catálogo!$C$19)*P$4)</f>
        <v>0</v>
      </c>
      <c r="Q9" s="159">
        <f>IF(Q4=0,0,-(+Catálogo!$M$20/Catálogo!$C$20)*Q$4)</f>
        <v>0</v>
      </c>
      <c r="R9" s="267">
        <f t="shared" si="2"/>
        <v>0</v>
      </c>
      <c r="S9" s="155" t="str">
        <f t="shared" si="3"/>
        <v/>
      </c>
    </row>
    <row r="10" spans="2:23" s="153" customFormat="1" ht="15.75" hidden="1" outlineLevel="1">
      <c r="B10" s="154" t="str">
        <f>+Catálogo!N$5</f>
        <v>Coste variable 3</v>
      </c>
      <c r="C10" s="154">
        <f>IF(C4=0,0,-(+Catálogo!$N$6/Catálogo!$C$6)*C$4)</f>
        <v>0</v>
      </c>
      <c r="D10" s="159">
        <f>IF(D4=0,0,-(+Catálogo!$N$7/Catálogo!$C$7)*D$4)</f>
        <v>0</v>
      </c>
      <c r="E10" s="159">
        <f>IF(C4=0,0,-(+Catálogo!$N$8/Catálogo!$C$8)*E$4)</f>
        <v>0</v>
      </c>
      <c r="F10" s="159">
        <f>IF(F4=0,0,-(+Catálogo!$N$9/Catálogo!$C$9)*F$4)</f>
        <v>0</v>
      </c>
      <c r="G10" s="159">
        <f>IF(G4=0,0,-(+Catálogo!$N$10/Catálogo!$C$10)*G$4)</f>
        <v>0</v>
      </c>
      <c r="H10" s="159">
        <f>IF(H4=0,0,-(+Catálogo!$N$11/Catálogo!$C$11)*H$4)</f>
        <v>0</v>
      </c>
      <c r="I10" s="159">
        <f>IF(I4=0,0,-(+Catálogo!$N$12/Catálogo!$C$12)*I$4)</f>
        <v>0</v>
      </c>
      <c r="J10" s="159">
        <f>IF(J4=0,0,-(+Catálogo!$N$13/Catálogo!$C$13)*J$4)</f>
        <v>0</v>
      </c>
      <c r="K10" s="159">
        <f>IF(K4=0,0,-(+Catálogo!$N$14/Catálogo!$C$14)*K$4)</f>
        <v>0</v>
      </c>
      <c r="L10" s="159">
        <f>IF(L4=0,0,-(+Catálogo!$N$15/Catálogo!$C$15)*L$4)</f>
        <v>0</v>
      </c>
      <c r="M10" s="159">
        <f>IF(M4=0,0,-(+Catálogo!$N$16/Catálogo!$C$16)*M$4)</f>
        <v>0</v>
      </c>
      <c r="N10" s="159">
        <f>IF(N4=0,0,-(+Catálogo!$N$17/Catálogo!$C$17)*N$4)</f>
        <v>0</v>
      </c>
      <c r="O10" s="159">
        <f>IF(O4=0,0,-(+Catálogo!$N$18/Catálogo!$C$18)*O$4)</f>
        <v>0</v>
      </c>
      <c r="P10" s="159">
        <f>IF(P4=0,0,-(+Catálogo!$N$19/Catálogo!$C$19)*P$4)</f>
        <v>0</v>
      </c>
      <c r="Q10" s="159">
        <f>IF(Q4=0,0,-(+Catálogo!$N$20/Catálogo!$C$20)*Q$4)</f>
        <v>0</v>
      </c>
      <c r="R10" s="267">
        <f t="shared" si="2"/>
        <v>0</v>
      </c>
      <c r="S10" s="155" t="str">
        <f t="shared" si="3"/>
        <v/>
      </c>
    </row>
    <row r="11" spans="2:23" s="153" customFormat="1" ht="15.75" hidden="1" outlineLevel="1">
      <c r="B11" s="154" t="str">
        <f>+Catálogo!O$5</f>
        <v>Coste variable 4</v>
      </c>
      <c r="C11" s="154">
        <f>IF(C4=0,0,-(+Catálogo!$O$6/Catálogo!$C$6)*C$4)</f>
        <v>0</v>
      </c>
      <c r="D11" s="159">
        <f>IF(D4=0,0,-(+Catálogo!$O$7/Catálogo!$C$7)*D$4)</f>
        <v>0</v>
      </c>
      <c r="E11" s="159">
        <f>IF(C4=0,0,-(+Catálogo!$O$8/Catálogo!$C$8)*E$4)</f>
        <v>0</v>
      </c>
      <c r="F11" s="159">
        <f>IF(F4=0,0,-(+Catálogo!$O$9/Catálogo!$C$9)*F$4)</f>
        <v>0</v>
      </c>
      <c r="G11" s="159">
        <f>IF(G4=0,0,-(+Catálogo!$O$10/Catálogo!$C$10)*G$4)</f>
        <v>0</v>
      </c>
      <c r="H11" s="159">
        <f>IF(H4=0,0,-(+Catálogo!$O$11/Catálogo!$C$11)*H$4)</f>
        <v>0</v>
      </c>
      <c r="I11" s="159">
        <f>IF(I4=0,0,-(+Catálogo!$O$12/Catálogo!$C$12)*I$4)</f>
        <v>0</v>
      </c>
      <c r="J11" s="159">
        <f>IF(J4=0,0,-(+Catálogo!$O$13/Catálogo!$C$13)*J$4)</f>
        <v>0</v>
      </c>
      <c r="K11" s="159">
        <f>IF(K4=0,0,-(+Catálogo!$O$14/Catálogo!$C$14)*K$4)</f>
        <v>0</v>
      </c>
      <c r="L11" s="159">
        <f>IF(L4=0,0,-(+Catálogo!$O$15/Catálogo!$C$15)*L$4)</f>
        <v>0</v>
      </c>
      <c r="M11" s="159">
        <f>IF(M4=0,0,-(+Catálogo!$O$16/Catálogo!$C$16)*M$4)</f>
        <v>0</v>
      </c>
      <c r="N11" s="159">
        <f>IF(N4=0,0,-(+Catálogo!$O$17/Catálogo!$C$17)*N$4)</f>
        <v>0</v>
      </c>
      <c r="O11" s="159">
        <f>IF(O4=0,0,-(+Catálogo!$O$18/Catálogo!$C$18)*O$4)</f>
        <v>0</v>
      </c>
      <c r="P11" s="159">
        <f>IF(P4=0,0,-(+Catálogo!$O$19/Catálogo!$C$19)*P$4)</f>
        <v>0</v>
      </c>
      <c r="Q11" s="159">
        <f>IF(Q4=0,0,-(+Catálogo!$O$20/Catálogo!$C$20)*Q$4)</f>
        <v>0</v>
      </c>
      <c r="R11" s="267">
        <f t="shared" si="2"/>
        <v>0</v>
      </c>
      <c r="S11" s="155" t="str">
        <f t="shared" si="3"/>
        <v/>
      </c>
    </row>
    <row r="12" spans="2:23" s="153" customFormat="1" ht="15.75" hidden="1" outlineLevel="1">
      <c r="B12" s="154" t="str">
        <f>+Catálogo!P$5</f>
        <v>Coste variable 5</v>
      </c>
      <c r="C12" s="154">
        <f>IF(C4=0,0,-(+Catálogo!$P$6/Catálogo!$C$6)*C$4)</f>
        <v>0</v>
      </c>
      <c r="D12" s="159">
        <f>IF(D4=0,0,-(+Catálogo!$P$7/Catálogo!$C$7)*D$4)</f>
        <v>0</v>
      </c>
      <c r="E12" s="159">
        <f>IF(C4=0,0,-(+Catálogo!$P$8/Catálogo!$C$8)*E$4)</f>
        <v>0</v>
      </c>
      <c r="F12" s="159">
        <f>IF(F4=0,0,-(+Catálogo!$P$9/Catálogo!$C$9)*F$4)</f>
        <v>0</v>
      </c>
      <c r="G12" s="159">
        <f>IF(G4=0,0,-(+Catálogo!$P$10/Catálogo!$C$10)*G$4)</f>
        <v>0</v>
      </c>
      <c r="H12" s="159">
        <f>IF(H4=0,0,-(+Catálogo!$P$11/Catálogo!$C$11)*H$4)</f>
        <v>0</v>
      </c>
      <c r="I12" s="159">
        <f>IF(I4=0,0,-(+Catálogo!$P$12/Catálogo!$C$12)*I$4)</f>
        <v>0</v>
      </c>
      <c r="J12" s="159">
        <f>IF(J4=0,0,-(+Catálogo!$P$13/Catálogo!$C$13)*J$4)</f>
        <v>0</v>
      </c>
      <c r="K12" s="159">
        <f>IF(K4=0,0,-(+Catálogo!$P$14/Catálogo!$C$14)*K$4)</f>
        <v>0</v>
      </c>
      <c r="L12" s="159">
        <f>IF(L4=0,0,-(+Catálogo!$P$15/Catálogo!$C$15)*L$4)</f>
        <v>0</v>
      </c>
      <c r="M12" s="159">
        <f>IF(M4=0,0,-(+Catálogo!$P$16/Catálogo!$C$16)*M$4)</f>
        <v>0</v>
      </c>
      <c r="N12" s="159">
        <f>IF(N4=0,0,-(+Catálogo!$P$17/Catálogo!$C$17)*N$4)</f>
        <v>0</v>
      </c>
      <c r="O12" s="159">
        <f>IF(O4=0,0,-(+Catálogo!$P$18/Catálogo!$C$18)*O$4)</f>
        <v>0</v>
      </c>
      <c r="P12" s="159">
        <f>IF(P4=0,0,-(+Catálogo!$P$19/Catálogo!$C$19)*P$4)</f>
        <v>0</v>
      </c>
      <c r="Q12" s="159">
        <f>IF(Q4=0,0,-(+Catálogo!$P$20/Catálogo!$C$20)*Q$4)</f>
        <v>0</v>
      </c>
      <c r="R12" s="267">
        <f t="shared" si="2"/>
        <v>0</v>
      </c>
      <c r="S12" s="155" t="str">
        <f t="shared" si="3"/>
        <v/>
      </c>
    </row>
    <row r="13" spans="2:23" s="153" customFormat="1" ht="15.75" hidden="1" outlineLevel="1">
      <c r="B13" s="154" t="str">
        <f>+Catálogo!Q$5</f>
        <v>Coste variable 6</v>
      </c>
      <c r="C13" s="154">
        <f>IF(C4=0,0,-(+Catálogo!$Q$6/Catálogo!$C$6)*C$4)</f>
        <v>0</v>
      </c>
      <c r="D13" s="159">
        <f>IF(D4=0,0,-(+Catálogo!$Q$7/Catálogo!$C$7)*D$4)</f>
        <v>0</v>
      </c>
      <c r="E13" s="159">
        <f>IF(C4=0,0,-(+Catálogo!$Q$8/Catálogo!$C$8)*E$4)</f>
        <v>0</v>
      </c>
      <c r="F13" s="159">
        <f>IF(F4=0,0,-(+Catálogo!$Q$9/Catálogo!$C$9)*F$4)</f>
        <v>0</v>
      </c>
      <c r="G13" s="159">
        <f>IF(G4=0,0,-(+Catálogo!$Q$10/Catálogo!$C$10)*G$4)</f>
        <v>0</v>
      </c>
      <c r="H13" s="159">
        <f>IF(H4=0,0,-(+Catálogo!$Q$11/Catálogo!$C$11)*H$4)</f>
        <v>0</v>
      </c>
      <c r="I13" s="159">
        <f>IF(I4=0,0,-(+Catálogo!$Q$12/Catálogo!$C$12)*I$4)</f>
        <v>0</v>
      </c>
      <c r="J13" s="159">
        <f>IF(J4=0,0,-(+Catálogo!$Q$13/Catálogo!$C$13)*J$4)</f>
        <v>0</v>
      </c>
      <c r="K13" s="159">
        <f>IF(K4=0,0,-(+Catálogo!$Q$14/Catálogo!$C$14)*K$4)</f>
        <v>0</v>
      </c>
      <c r="L13" s="159">
        <f>IF(L4=0,0,-(+Catálogo!$Q$15/Catálogo!$C$15)*L$4)</f>
        <v>0</v>
      </c>
      <c r="M13" s="159">
        <f>IF(M4=0,0,-(+Catálogo!$Q$16/Catálogo!$C$16)*M$4)</f>
        <v>0</v>
      </c>
      <c r="N13" s="159">
        <f>IF(N4=0,0,-(+Catálogo!$Q$17/Catálogo!$C$17)*N$4)</f>
        <v>0</v>
      </c>
      <c r="O13" s="159">
        <f>IF(O4=0,0,-(+Catálogo!$Q$18/Catálogo!$C$18)*O$4)</f>
        <v>0</v>
      </c>
      <c r="P13" s="159">
        <f>IF(P4=0,0,-(+Catálogo!$Q$19/Catálogo!$C$19)*P$4)</f>
        <v>0</v>
      </c>
      <c r="Q13" s="159">
        <f>IF(Q4=0,0,-(+Catálogo!$Q$20/Catálogo!$C$20)*Q$4)</f>
        <v>0</v>
      </c>
      <c r="R13" s="267">
        <f t="shared" si="2"/>
        <v>0</v>
      </c>
      <c r="S13" s="155" t="str">
        <f t="shared" si="3"/>
        <v/>
      </c>
    </row>
    <row r="14" spans="2:23" ht="9" customHeight="1" collapsed="1">
      <c r="B14" s="20"/>
      <c r="C14" s="20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S14" s="119"/>
    </row>
    <row r="15" spans="2:23" ht="15" customHeight="1">
      <c r="B15" s="101" t="s">
        <v>125</v>
      </c>
      <c r="C15" s="152">
        <f>SUM(C4:C6)</f>
        <v>0</v>
      </c>
      <c r="D15" s="152">
        <f>SUM(D4:D6)</f>
        <v>0</v>
      </c>
      <c r="E15" s="152">
        <f t="shared" ref="E15:Q15" si="4">SUM(E4:E6)</f>
        <v>0</v>
      </c>
      <c r="F15" s="152">
        <f t="shared" si="4"/>
        <v>0</v>
      </c>
      <c r="G15" s="152">
        <f t="shared" si="4"/>
        <v>0</v>
      </c>
      <c r="H15" s="152">
        <f t="shared" si="4"/>
        <v>0</v>
      </c>
      <c r="I15" s="152">
        <f t="shared" si="4"/>
        <v>0</v>
      </c>
      <c r="J15" s="152">
        <f t="shared" si="4"/>
        <v>0</v>
      </c>
      <c r="K15" s="152">
        <f t="shared" si="4"/>
        <v>0</v>
      </c>
      <c r="L15" s="152">
        <f t="shared" si="4"/>
        <v>0</v>
      </c>
      <c r="M15" s="152">
        <f t="shared" si="4"/>
        <v>0</v>
      </c>
      <c r="N15" s="152">
        <f t="shared" si="4"/>
        <v>0</v>
      </c>
      <c r="O15" s="152">
        <f t="shared" si="4"/>
        <v>0</v>
      </c>
      <c r="P15" s="152">
        <f t="shared" si="4"/>
        <v>0</v>
      </c>
      <c r="Q15" s="152">
        <f t="shared" si="4"/>
        <v>0</v>
      </c>
      <c r="R15" s="152">
        <f>SUM('Resultados mensuales '!$C$7:$N$7)</f>
        <v>0</v>
      </c>
      <c r="S15" s="150" t="str">
        <f>IF(ISERROR(+R15/R$4),"",(+R15/R$4))</f>
        <v/>
      </c>
    </row>
    <row r="16" spans="2:23" s="14" customFormat="1" ht="19.5" customHeight="1">
      <c r="B16" s="101" t="s">
        <v>373</v>
      </c>
      <c r="C16" s="150" t="str">
        <f>IF(ISERROR(+C15/C4),"",(+C15/C4))</f>
        <v/>
      </c>
      <c r="D16" s="150" t="str">
        <f t="shared" ref="D16:R16" si="5">IF(ISERROR(+D15/D4),"",(+D15/D4))</f>
        <v/>
      </c>
      <c r="E16" s="150" t="str">
        <f t="shared" si="5"/>
        <v/>
      </c>
      <c r="F16" s="150" t="str">
        <f t="shared" si="5"/>
        <v/>
      </c>
      <c r="G16" s="150" t="str">
        <f t="shared" si="5"/>
        <v/>
      </c>
      <c r="H16" s="150" t="str">
        <f t="shared" si="5"/>
        <v/>
      </c>
      <c r="I16" s="150" t="str">
        <f t="shared" si="5"/>
        <v/>
      </c>
      <c r="J16" s="150" t="str">
        <f t="shared" si="5"/>
        <v/>
      </c>
      <c r="K16" s="150" t="str">
        <f t="shared" si="5"/>
        <v/>
      </c>
      <c r="L16" s="150" t="str">
        <f t="shared" si="5"/>
        <v/>
      </c>
      <c r="M16" s="150" t="str">
        <f t="shared" si="5"/>
        <v/>
      </c>
      <c r="N16" s="150" t="str">
        <f t="shared" si="5"/>
        <v/>
      </c>
      <c r="O16" s="150" t="str">
        <f t="shared" si="5"/>
        <v/>
      </c>
      <c r="P16" s="150" t="str">
        <f t="shared" si="5"/>
        <v/>
      </c>
      <c r="Q16" s="150" t="str">
        <f t="shared" si="5"/>
        <v/>
      </c>
      <c r="R16" s="150" t="str">
        <f t="shared" si="5"/>
        <v/>
      </c>
      <c r="S16" s="7"/>
    </row>
    <row r="17" spans="2:22">
      <c r="B17" s="77" t="str">
        <f>+'Otros Gastos'!B11</f>
        <v>Sueldos y salarios</v>
      </c>
      <c r="C17" s="77"/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2">
        <f>SUM('Resultados mensuales '!$C$9:$N$9)</f>
        <v>0</v>
      </c>
      <c r="S17" s="151" t="str">
        <f t="shared" si="1"/>
        <v/>
      </c>
    </row>
    <row r="18" spans="2:22">
      <c r="B18" s="77" t="str">
        <f>+'Otros Gastos'!B12</f>
        <v>Seguridad social</v>
      </c>
      <c r="C18" s="77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2">
        <f>SUM('Resultados mensuales '!$C$10:$N$10)</f>
        <v>0</v>
      </c>
      <c r="S18" s="151" t="str">
        <f t="shared" si="1"/>
        <v/>
      </c>
    </row>
    <row r="19" spans="2:22">
      <c r="B19" s="77" t="str">
        <f>+'Otros Gastos'!B13</f>
        <v>Publicidad</v>
      </c>
      <c r="C19" s="77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2">
        <f>SUM('Resultados mensuales '!$C$11:$N$11)</f>
        <v>0</v>
      </c>
      <c r="S19" s="151" t="str">
        <f t="shared" si="1"/>
        <v/>
      </c>
    </row>
    <row r="20" spans="2:22">
      <c r="B20" s="77">
        <f>+'Otros Gastos'!B14</f>
        <v>0</v>
      </c>
      <c r="C20" s="77"/>
      <c r="D20" s="160"/>
      <c r="E20" s="160" t="s">
        <v>46</v>
      </c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2">
        <f>SUM('Resultados mensuales '!$C$12:$N$12)</f>
        <v>0</v>
      </c>
      <c r="S20" s="151" t="str">
        <f t="shared" si="1"/>
        <v/>
      </c>
    </row>
    <row r="21" spans="2:22">
      <c r="B21" s="77">
        <f>+'Otros Gastos'!B15</f>
        <v>0</v>
      </c>
      <c r="C21" s="77"/>
      <c r="D21" s="160"/>
      <c r="E21" s="160"/>
      <c r="F21" s="160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2">
        <f>SUM('Resultados mensuales '!$C$13:$N$13)</f>
        <v>0</v>
      </c>
      <c r="S21" s="151" t="str">
        <f t="shared" si="1"/>
        <v/>
      </c>
    </row>
    <row r="22" spans="2:22">
      <c r="B22" s="77">
        <f>+'Otros Gastos'!B16</f>
        <v>0</v>
      </c>
      <c r="C22" s="77"/>
      <c r="D22" s="160"/>
      <c r="E22" s="160"/>
      <c r="F22" s="160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2">
        <f>SUM('Resultados mensuales '!$C$14:$N$14)</f>
        <v>0</v>
      </c>
      <c r="S22" s="151" t="str">
        <f t="shared" si="1"/>
        <v/>
      </c>
    </row>
    <row r="23" spans="2:22">
      <c r="B23" s="77" t="s">
        <v>126</v>
      </c>
      <c r="C23" s="77"/>
      <c r="D23" s="160"/>
      <c r="E23" s="160" t="s">
        <v>46</v>
      </c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2">
        <f>SUM('Resultados mensuales '!$C$15:$N$29)</f>
        <v>0</v>
      </c>
      <c r="S23" s="151" t="str">
        <f t="shared" si="1"/>
        <v/>
      </c>
    </row>
    <row r="24" spans="2:22">
      <c r="B24" s="77" t="s">
        <v>127</v>
      </c>
      <c r="C24" s="77"/>
      <c r="D24" s="160"/>
      <c r="E24" s="160"/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2">
        <f ca="1">SUM('Resultados mensuales '!$C$30:$N$30)</f>
        <v>0</v>
      </c>
      <c r="S24" s="151" t="str">
        <f t="shared" ca="1" si="1"/>
        <v/>
      </c>
      <c r="U24" s="7" t="s">
        <v>46</v>
      </c>
    </row>
    <row r="25" spans="2:22">
      <c r="B25" s="77" t="str">
        <f>+'Resultados mensuales '!B31</f>
        <v>Provisiones</v>
      </c>
      <c r="C25" s="77"/>
      <c r="D25" s="160"/>
      <c r="E25" s="160"/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2">
        <f>SUM('Resultados mensuales '!$C$31:$N$31)</f>
        <v>0</v>
      </c>
      <c r="S25" s="151" t="str">
        <f t="shared" si="1"/>
        <v/>
      </c>
    </row>
    <row r="26" spans="2:22">
      <c r="B26" s="77" t="s">
        <v>128</v>
      </c>
      <c r="C26" s="77"/>
      <c r="D26" s="160"/>
      <c r="E26" s="160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2">
        <f ca="1">SUM('Resultados mensuales '!$C$37:$N$37)</f>
        <v>0</v>
      </c>
      <c r="S26" s="151" t="str">
        <f t="shared" ca="1" si="1"/>
        <v/>
      </c>
      <c r="V26" s="7" t="s">
        <v>46</v>
      </c>
    </row>
    <row r="27" spans="2:22" ht="8.25" customHeight="1">
      <c r="B27" s="77"/>
      <c r="C27" s="77"/>
      <c r="D27" s="160"/>
      <c r="E27" s="160"/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S27" s="151"/>
    </row>
    <row r="28" spans="2:22">
      <c r="B28" s="101" t="s">
        <v>1269</v>
      </c>
      <c r="C28" s="77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52"/>
      <c r="S28" s="151"/>
    </row>
    <row r="29" spans="2:22" ht="9.75" customHeight="1">
      <c r="R29" s="152"/>
    </row>
    <row r="30" spans="2:22">
      <c r="B30" s="101" t="s">
        <v>215</v>
      </c>
      <c r="C30" s="101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52">
        <f ca="1">SUM('Resultados mensuales '!$C$39:$N$39)</f>
        <v>0</v>
      </c>
      <c r="S30" s="150" t="str">
        <f t="shared" ref="S30" ca="1" si="6">IF(ISERROR(+R30/R$4),"",(+R30/R$4))</f>
        <v/>
      </c>
    </row>
    <row r="32" spans="2:22">
      <c r="B32" s="101" t="s">
        <v>250</v>
      </c>
      <c r="R32" s="152">
        <f ca="1">+Resultados!C27</f>
        <v>0</v>
      </c>
    </row>
  </sheetData>
  <sheetProtection sheet="1" objects="1" scenarios="1"/>
  <conditionalFormatting sqref="C1:E1 H4:P5 C7:E14 C17:E1048576 C15:D15 C2:C6 H17:P1048576 H7:P14 H1:P1">
    <cfRule type="cellIs" dxfId="362" priority="21" operator="equal">
      <formula>"ERROR"</formula>
    </cfRule>
  </conditionalFormatting>
  <conditionalFormatting sqref="H6:Q6">
    <cfRule type="cellIs" dxfId="361" priority="20" operator="equal">
      <formula>"ERROR"</formula>
    </cfRule>
  </conditionalFormatting>
  <conditionalFormatting sqref="D4:E6">
    <cfRule type="cellIs" dxfId="360" priority="19" operator="equal">
      <formula>"ERROR"</formula>
    </cfRule>
  </conditionalFormatting>
  <conditionalFormatting sqref="E15 H15:Q15">
    <cfRule type="cellIs" dxfId="359" priority="18" operator="equal">
      <formula>"ERROR"</formula>
    </cfRule>
  </conditionalFormatting>
  <conditionalFormatting sqref="D2:E2 H2:Q2">
    <cfRule type="cellIs" dxfId="358" priority="17" operator="equal">
      <formula>"ERROR"</formula>
    </cfRule>
  </conditionalFormatting>
  <conditionalFormatting sqref="E3 H3:Q3">
    <cfRule type="cellIs" dxfId="357" priority="11" operator="equal">
      <formula>"ERROR"</formula>
    </cfRule>
  </conditionalFormatting>
  <conditionalFormatting sqref="V8:W8 W7">
    <cfRule type="cellIs" dxfId="356" priority="14" operator="equal">
      <formula>"ERROR"</formula>
    </cfRule>
  </conditionalFormatting>
  <conditionalFormatting sqref="V7">
    <cfRule type="cellIs" dxfId="355" priority="13" operator="equal">
      <formula>"ERROR"</formula>
    </cfRule>
  </conditionalFormatting>
  <conditionalFormatting sqref="D3">
    <cfRule type="cellIs" dxfId="354" priority="12" operator="equal">
      <formula>"ERROR"</formula>
    </cfRule>
  </conditionalFormatting>
  <conditionalFormatting sqref="F1 F7:F14 F17:F1048576">
    <cfRule type="cellIs" dxfId="353" priority="10" operator="equal">
      <formula>"ERROR"</formula>
    </cfRule>
  </conditionalFormatting>
  <conditionalFormatting sqref="F4:F6">
    <cfRule type="cellIs" dxfId="352" priority="9" operator="equal">
      <formula>"ERROR"</formula>
    </cfRule>
  </conditionalFormatting>
  <conditionalFormatting sqref="F15">
    <cfRule type="cellIs" dxfId="351" priority="8" operator="equal">
      <formula>"ERROR"</formula>
    </cfRule>
  </conditionalFormatting>
  <conditionalFormatting sqref="F2">
    <cfRule type="cellIs" dxfId="350" priority="7" operator="equal">
      <formula>"ERROR"</formula>
    </cfRule>
  </conditionalFormatting>
  <conditionalFormatting sqref="F3">
    <cfRule type="cellIs" dxfId="349" priority="6" operator="equal">
      <formula>"ERROR"</formula>
    </cfRule>
  </conditionalFormatting>
  <conditionalFormatting sqref="G1 G7:G14 G17:G1048576">
    <cfRule type="cellIs" dxfId="348" priority="5" operator="equal">
      <formula>"ERROR"</formula>
    </cfRule>
  </conditionalFormatting>
  <conditionalFormatting sqref="G4:G6">
    <cfRule type="cellIs" dxfId="347" priority="4" operator="equal">
      <formula>"ERROR"</formula>
    </cfRule>
  </conditionalFormatting>
  <conditionalFormatting sqref="G15">
    <cfRule type="cellIs" dxfId="346" priority="3" operator="equal">
      <formula>"ERROR"</formula>
    </cfRule>
  </conditionalFormatting>
  <conditionalFormatting sqref="G2">
    <cfRule type="cellIs" dxfId="345" priority="2" operator="equal">
      <formula>"ERROR"</formula>
    </cfRule>
  </conditionalFormatting>
  <conditionalFormatting sqref="G3">
    <cfRule type="cellIs" dxfId="344" priority="1" operator="equal">
      <formula>"ERROR"</formula>
    </cfRule>
  </conditionalFormatting>
  <pageMargins left="0.7" right="0.7" top="0.75" bottom="0.75" header="0.3" footer="0.3"/>
  <pageSetup paperSize="9" scale="46" orientation="portrait" r:id="rId1"/>
  <colBreaks count="1" manualBreakCount="1">
    <brk id="19" max="27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tabColor rgb="FFFFC000"/>
  </sheetPr>
  <dimension ref="B1:K37"/>
  <sheetViews>
    <sheetView zoomScaleNormal="100" workbookViewId="0">
      <pane xSplit="2" ySplit="3" topLeftCell="C4" activePane="bottomRight" state="frozen"/>
      <selection activeCell="D22" sqref="D22"/>
      <selection pane="topRight" activeCell="D22" sqref="D22"/>
      <selection pane="bottomLeft" activeCell="D22" sqref="D22"/>
      <selection pane="bottomRight" activeCell="L16" sqref="L16"/>
    </sheetView>
  </sheetViews>
  <sheetFormatPr baseColWidth="10" defaultColWidth="11.42578125" defaultRowHeight="15"/>
  <cols>
    <col min="1" max="1" width="4.85546875" style="5" customWidth="1"/>
    <col min="2" max="2" width="35" style="5" customWidth="1"/>
    <col min="3" max="3" width="11.42578125" style="5"/>
    <col min="4" max="4" width="9" style="5" customWidth="1"/>
    <col min="5" max="5" width="11.42578125" style="5"/>
    <col min="6" max="6" width="8.5703125" style="5" bestFit="1" customWidth="1"/>
    <col min="7" max="7" width="11.42578125" style="5"/>
    <col min="8" max="8" width="9" style="5" bestFit="1" customWidth="1"/>
    <col min="9" max="16384" width="11.42578125" style="5"/>
  </cols>
  <sheetData>
    <row r="1" spans="2:11" ht="18.75">
      <c r="B1" s="10" t="s">
        <v>115</v>
      </c>
    </row>
    <row r="2" spans="2:11" ht="21">
      <c r="C2" s="75">
        <f>IF('Inversión-Financiación'!G1='Inversión-Financiación'!R1,'Inversión-Financiación'!G1,'Inversión-Financiación'!G1&amp;"/"&amp;'Inversión-Financiación'!R1)</f>
        <v>2021</v>
      </c>
      <c r="D2" s="80"/>
      <c r="E2" s="810">
        <f>IF('Inversión-Financiación'!S1='Inversión-Financiación'!AD1,'Inversión-Financiación'!S1,'Inversión-Financiación'!S1&amp;"/"&amp;'Inversión-Financiación'!AD1)</f>
        <v>2022</v>
      </c>
      <c r="F2" s="75"/>
      <c r="G2" s="810">
        <f>IF('Inversión-Financiación'!AE1='Inversión-Financiación'!AP1,'Inversión-Financiación'!AE1,'Inversión-Financiación'!AE1&amp;"/"&amp;'Inversión-Financiación'!AP1)</f>
        <v>2023</v>
      </c>
      <c r="H2" s="75"/>
    </row>
    <row r="3" spans="2:11" s="14" customFormat="1" ht="9.75" customHeight="1">
      <c r="F3" s="75"/>
      <c r="H3" s="75"/>
    </row>
    <row r="4" spans="2:11" s="14" customFormat="1" ht="18.75">
      <c r="B4" s="7" t="s">
        <v>120</v>
      </c>
      <c r="C4" s="9">
        <f>SUM('Resultados mensuales '!$C$4:$N$4)</f>
        <v>0</v>
      </c>
      <c r="D4" s="79" t="str">
        <f>IF(ISERROR(+C4/C$4),"",(+C4/C$4))</f>
        <v/>
      </c>
      <c r="E4" s="9">
        <f>SUM('Resultados mensuales '!$O$4:$Z$4)</f>
        <v>0</v>
      </c>
      <c r="F4" s="79" t="str">
        <f>IF(ISERROR(+E4/E$4),"",(+E4/E$4))</f>
        <v/>
      </c>
      <c r="G4" s="9">
        <f>SUM('Resultados mensuales '!$AA$4:$OZ$4)</f>
        <v>0</v>
      </c>
      <c r="H4" s="79" t="str">
        <f>IF(ISERROR(+G4/G$4),"",(+G4/G$4))</f>
        <v/>
      </c>
    </row>
    <row r="5" spans="2:11" s="14" customFormat="1" ht="18.75">
      <c r="B5" s="7" t="str">
        <f>+'Resultados mensuales '!B5</f>
        <v>Coste de compra sin IVA</v>
      </c>
      <c r="C5" s="9">
        <f>SUM('Resultados mensuales '!$C$5:$N$5)</f>
        <v>0</v>
      </c>
      <c r="D5" s="102" t="str">
        <f t="shared" ref="D5:F21" si="0">IF(ISERROR(+C5/C$4),"",(+C5/C$4))</f>
        <v/>
      </c>
      <c r="E5" s="9">
        <f>SUM('Resultados mensuales '!$O$5:$Z$5)</f>
        <v>0</v>
      </c>
      <c r="F5" s="102" t="str">
        <f>IF(ISERROR(+E5/E$4),"",(+E5/E$4))</f>
        <v/>
      </c>
      <c r="G5" s="9">
        <f>SUM('Resultados mensuales '!$AA$5:$OZ$5)</f>
        <v>0</v>
      </c>
      <c r="H5" s="102" t="str">
        <f t="shared" ref="H5" si="1">IF(ISERROR(+G5/G$4),"",(+G5/G$4))</f>
        <v/>
      </c>
    </row>
    <row r="6" spans="2:11" s="14" customFormat="1" ht="18.75">
      <c r="B6" s="7" t="str">
        <f>+'Resultados mensuales '!B6</f>
        <v>Otros costes variables</v>
      </c>
      <c r="C6" s="9">
        <f>SUM('Resultados mensuales '!$C$6:$N$6)</f>
        <v>0</v>
      </c>
      <c r="D6" s="102" t="str">
        <f t="shared" si="0"/>
        <v/>
      </c>
      <c r="E6" s="9">
        <f>SUM('Resultados mensuales '!$O$6:$Z$6)</f>
        <v>0</v>
      </c>
      <c r="F6" s="102" t="str">
        <f t="shared" si="0"/>
        <v/>
      </c>
      <c r="G6" s="9">
        <f>SUM('Resultados mensuales '!$AA$6:$OZ$6)</f>
        <v>0</v>
      </c>
      <c r="H6" s="102" t="str">
        <f t="shared" ref="H6" si="2">IF(ISERROR(+G6/G$4),"",(+G6/G$4))</f>
        <v/>
      </c>
    </row>
    <row r="7" spans="2:11" s="14" customFormat="1" ht="9" customHeight="1">
      <c r="B7" s="16"/>
      <c r="D7" s="80"/>
      <c r="F7" s="103"/>
      <c r="H7" s="103"/>
    </row>
    <row r="8" spans="2:11" s="14" customFormat="1" ht="13.5" customHeight="1">
      <c r="B8" s="101" t="s">
        <v>125</v>
      </c>
      <c r="C8" s="78">
        <f>SUM('Resultados mensuales '!$C$7:$N$7)</f>
        <v>0</v>
      </c>
      <c r="D8" s="79" t="str">
        <f t="shared" si="0"/>
        <v/>
      </c>
      <c r="E8" s="78">
        <f>SUM('Resultados mensuales '!$O$7:$Z$7)</f>
        <v>0</v>
      </c>
      <c r="F8" s="79" t="str">
        <f t="shared" si="0"/>
        <v/>
      </c>
      <c r="G8" s="78">
        <f>SUM('Resultados mensuales '!$AA$7:$OZ$7)</f>
        <v>0</v>
      </c>
      <c r="H8" s="79" t="str">
        <f t="shared" ref="H8" si="3">IF(ISERROR(+G8/G$4),"",(+G8/G$4))</f>
        <v/>
      </c>
    </row>
    <row r="9" spans="2:11" s="14" customFormat="1" ht="6" customHeight="1">
      <c r="B9" s="76"/>
    </row>
    <row r="10" spans="2:11" s="14" customFormat="1" ht="18.75">
      <c r="B10" s="77" t="str">
        <f>+'Otros Gastos'!B11</f>
        <v>Sueldos y salarios</v>
      </c>
      <c r="C10" s="9">
        <f>SUM('Resultados mensuales '!$C$9:$N$9)</f>
        <v>0</v>
      </c>
      <c r="D10" s="102" t="str">
        <f t="shared" si="0"/>
        <v/>
      </c>
      <c r="E10" s="9">
        <f>SUM('Resultados mensuales '!$O$9:$Z$9)</f>
        <v>0</v>
      </c>
      <c r="F10" s="102" t="str">
        <f t="shared" si="0"/>
        <v/>
      </c>
      <c r="G10" s="9">
        <f>SUM('Resultados mensuales '!$AA$9:$OZ$9)</f>
        <v>0</v>
      </c>
      <c r="H10" s="102" t="str">
        <f t="shared" ref="H10" si="4">IF(ISERROR(+G10/G$4),"",(+G10/G$4))</f>
        <v/>
      </c>
    </row>
    <row r="11" spans="2:11" s="14" customFormat="1" ht="18.75">
      <c r="B11" s="77" t="str">
        <f>+'Otros Gastos'!B12</f>
        <v>Seguridad social</v>
      </c>
      <c r="C11" s="9">
        <f>SUM('Resultados mensuales '!$C$10:$N$10)</f>
        <v>0</v>
      </c>
      <c r="D11" s="102" t="str">
        <f t="shared" si="0"/>
        <v/>
      </c>
      <c r="E11" s="9">
        <f>SUM('Resultados mensuales '!$O$10:$Z$10)</f>
        <v>0</v>
      </c>
      <c r="F11" s="102" t="str">
        <f t="shared" si="0"/>
        <v/>
      </c>
      <c r="G11" s="9">
        <f>SUM('Resultados mensuales '!$AA$10:$OZ$10)</f>
        <v>0</v>
      </c>
      <c r="H11" s="102" t="str">
        <f t="shared" ref="H11" si="5">IF(ISERROR(+G11/G$4),"",(+G11/G$4))</f>
        <v/>
      </c>
    </row>
    <row r="12" spans="2:11" s="14" customFormat="1" ht="18.75">
      <c r="B12" s="77" t="str">
        <f>+'Otros Gastos'!B13</f>
        <v>Publicidad</v>
      </c>
      <c r="C12" s="9">
        <f>SUM('Resultados mensuales '!$C$11:$N$11)</f>
        <v>0</v>
      </c>
      <c r="D12" s="102" t="str">
        <f t="shared" si="0"/>
        <v/>
      </c>
      <c r="E12" s="9">
        <f>SUM('Resultados mensuales '!$O$11:$Z$11)</f>
        <v>0</v>
      </c>
      <c r="F12" s="102" t="str">
        <f t="shared" si="0"/>
        <v/>
      </c>
      <c r="G12" s="9">
        <f>SUM('Resultados mensuales '!$AA$11:$OZ$11)</f>
        <v>0</v>
      </c>
      <c r="H12" s="102" t="str">
        <f t="shared" ref="H12" si="6">IF(ISERROR(+G12/G$4),"",(+G12/G$4))</f>
        <v/>
      </c>
    </row>
    <row r="13" spans="2:11" s="14" customFormat="1" ht="18.75">
      <c r="B13" s="77">
        <f>+'Otros Gastos'!B14</f>
        <v>0</v>
      </c>
      <c r="C13" s="9">
        <f>SUM('Resultados mensuales '!$C$12:$N$12)</f>
        <v>0</v>
      </c>
      <c r="D13" s="102" t="str">
        <f t="shared" si="0"/>
        <v/>
      </c>
      <c r="E13" s="9">
        <f>SUM('Resultados mensuales '!$O$12:$Z$12)</f>
        <v>0</v>
      </c>
      <c r="F13" s="102" t="str">
        <f t="shared" si="0"/>
        <v/>
      </c>
      <c r="G13" s="9">
        <f>SUM('Resultados mensuales '!$AA$12:$OZ$12)</f>
        <v>0</v>
      </c>
      <c r="H13" s="102" t="str">
        <f t="shared" ref="H13" si="7">IF(ISERROR(+G13/G$4),"",(+G13/G$4))</f>
        <v/>
      </c>
    </row>
    <row r="14" spans="2:11" s="14" customFormat="1" ht="18.75">
      <c r="B14" s="77">
        <f>+'Otros Gastos'!B15</f>
        <v>0</v>
      </c>
      <c r="C14" s="9">
        <f>SUM('Resultados mensuales '!$C$13:$N$13)</f>
        <v>0</v>
      </c>
      <c r="D14" s="102" t="str">
        <f t="shared" si="0"/>
        <v/>
      </c>
      <c r="E14" s="9">
        <f>SUM('Resultados mensuales '!$O$13:$Z$13)</f>
        <v>0</v>
      </c>
      <c r="F14" s="102" t="str">
        <f t="shared" si="0"/>
        <v/>
      </c>
      <c r="G14" s="9">
        <f>SUM('Resultados mensuales '!$AA$13:$OZ$13)</f>
        <v>0</v>
      </c>
      <c r="H14" s="102" t="str">
        <f t="shared" ref="H14" si="8">IF(ISERROR(+G14/G$4),"",(+G14/G$4))</f>
        <v/>
      </c>
      <c r="K14" s="14" t="s">
        <v>46</v>
      </c>
    </row>
    <row r="15" spans="2:11" s="14" customFormat="1" ht="18.75">
      <c r="B15" s="77">
        <f>+'Otros Gastos'!B16</f>
        <v>0</v>
      </c>
      <c r="C15" s="9">
        <f>SUM('Resultados mensuales '!$C$14:$N$14)</f>
        <v>0</v>
      </c>
      <c r="D15" s="102" t="str">
        <f t="shared" si="0"/>
        <v/>
      </c>
      <c r="E15" s="9">
        <f>SUM('Resultados mensuales '!$O$14:$Z$14)</f>
        <v>0</v>
      </c>
      <c r="F15" s="102" t="str">
        <f t="shared" si="0"/>
        <v/>
      </c>
      <c r="G15" s="9">
        <f>SUM('Resultados mensuales '!$AA$14:$OZ$14)</f>
        <v>0</v>
      </c>
      <c r="H15" s="102" t="str">
        <f t="shared" ref="H15" si="9">IF(ISERROR(+G15/G$4),"",(+G15/G$4))</f>
        <v/>
      </c>
    </row>
    <row r="16" spans="2:11" s="14" customFormat="1" ht="18.75">
      <c r="B16" s="77" t="s">
        <v>126</v>
      </c>
      <c r="C16" s="9">
        <f>SUM('Resultados mensuales '!$C$15:$N$29)</f>
        <v>0</v>
      </c>
      <c r="D16" s="102" t="str">
        <f t="shared" si="0"/>
        <v/>
      </c>
      <c r="E16" s="9">
        <f>SUM('Resultados mensuales '!$O$15:$Z$29)</f>
        <v>0</v>
      </c>
      <c r="F16" s="102" t="str">
        <f t="shared" si="0"/>
        <v/>
      </c>
      <c r="G16" s="9">
        <f>SUM('Resultados mensuales '!$AA$15:$OZ$29)</f>
        <v>0</v>
      </c>
      <c r="H16" s="102" t="str">
        <f t="shared" ref="H16" si="10">IF(ISERROR(+G16/G$4),"",(+G16/G$4))</f>
        <v/>
      </c>
    </row>
    <row r="17" spans="2:11" s="14" customFormat="1" ht="18.75">
      <c r="B17" s="77" t="s">
        <v>127</v>
      </c>
      <c r="C17" s="9">
        <f ca="1">SUM('Resultados mensuales '!$C$30:$N$30)</f>
        <v>0</v>
      </c>
      <c r="D17" s="102" t="str">
        <f t="shared" ca="1" si="0"/>
        <v/>
      </c>
      <c r="E17" s="9">
        <f ca="1">SUM('Resultados mensuales '!$O$30:$Z$30)</f>
        <v>0</v>
      </c>
      <c r="F17" s="102" t="str">
        <f t="shared" ca="1" si="0"/>
        <v/>
      </c>
      <c r="G17" s="9">
        <f ca="1">SUM('Resultados mensuales '!$AA$30:$OZ$30)</f>
        <v>0</v>
      </c>
      <c r="H17" s="102" t="str">
        <f t="shared" ref="H17" ca="1" si="11">IF(ISERROR(+G17/G$4),"",(+G17/G$4))</f>
        <v/>
      </c>
      <c r="J17" s="14" t="s">
        <v>46</v>
      </c>
    </row>
    <row r="18" spans="2:11" s="14" customFormat="1" ht="18.75">
      <c r="B18" s="77" t="str">
        <f>+'Resultados mensuales '!B31</f>
        <v>Provisiones</v>
      </c>
      <c r="C18" s="9">
        <f>SUM('Resultados mensuales '!$C$31:$N$31)</f>
        <v>0</v>
      </c>
      <c r="D18" s="102" t="str">
        <f t="shared" si="0"/>
        <v/>
      </c>
      <c r="E18" s="9">
        <f>SUM('Resultados mensuales '!$O$31:$Z$31)</f>
        <v>0</v>
      </c>
      <c r="F18" s="102" t="str">
        <f t="shared" si="0"/>
        <v/>
      </c>
      <c r="G18" s="9">
        <f>SUM('Resultados mensuales '!$AA$31:$OZ$31)</f>
        <v>0</v>
      </c>
      <c r="H18" s="102" t="str">
        <f t="shared" ref="H18" si="12">IF(ISERROR(+G18/G$4),"",(+G18/G$4))</f>
        <v/>
      </c>
    </row>
    <row r="19" spans="2:11" s="14" customFormat="1" ht="18.75">
      <c r="B19" s="77" t="s">
        <v>128</v>
      </c>
      <c r="C19" s="9">
        <f ca="1">SUM('Resultados mensuales '!$C$36:$N$37)</f>
        <v>0</v>
      </c>
      <c r="D19" s="102" t="str">
        <f t="shared" ca="1" si="0"/>
        <v/>
      </c>
      <c r="E19" s="9">
        <f ca="1">SUM('Resultados mensuales '!$O$36:$Z$37)</f>
        <v>0</v>
      </c>
      <c r="F19" s="102" t="str">
        <f t="shared" ca="1" si="0"/>
        <v/>
      </c>
      <c r="G19" s="9">
        <f ca="1">SUM('Resultados mensuales '!$AA$36:$OZ$37)</f>
        <v>0</v>
      </c>
      <c r="H19" s="102" t="str">
        <f t="shared" ref="H19" ca="1" si="13">IF(ISERROR(+G19/G$4),"",(+G19/G$4))</f>
        <v/>
      </c>
    </row>
    <row r="20" spans="2:11" s="14" customFormat="1" ht="20.25" customHeight="1">
      <c r="B20" s="101" t="s">
        <v>1269</v>
      </c>
      <c r="C20" s="78">
        <f ca="1">SUM(C10:C19)</f>
        <v>0</v>
      </c>
      <c r="D20" s="104"/>
      <c r="E20" s="78">
        <f ca="1">SUM(E10:E19)</f>
        <v>0</v>
      </c>
      <c r="F20" s="104"/>
      <c r="G20" s="78">
        <f ca="1">SUM(G10:G19)</f>
        <v>0</v>
      </c>
    </row>
    <row r="21" spans="2:11" s="14" customFormat="1" ht="30.75" customHeight="1">
      <c r="B21" s="101" t="s">
        <v>215</v>
      </c>
      <c r="C21" s="78">
        <f ca="1">SUM('Resultados mensuales '!$C$39:$N$39)</f>
        <v>0</v>
      </c>
      <c r="D21" s="79" t="str">
        <f t="shared" ca="1" si="0"/>
        <v/>
      </c>
      <c r="E21" s="78">
        <f ca="1">SUM('Resultados mensuales '!$O$39:$Z$39)</f>
        <v>0</v>
      </c>
      <c r="F21" s="79" t="str">
        <f t="shared" ca="1" si="0"/>
        <v/>
      </c>
      <c r="G21" s="78">
        <f ca="1">SUM('Resultados mensuales '!$AA$39:$OZ$39)</f>
        <v>0</v>
      </c>
      <c r="H21" s="79" t="str">
        <f t="shared" ref="H21" ca="1" si="14">IF(ISERROR(+G21/G$4),"",(+G21/G$4))</f>
        <v/>
      </c>
      <c r="J21" s="14" t="s">
        <v>249</v>
      </c>
    </row>
    <row r="22" spans="2:11" s="14" customFormat="1" ht="3.75" customHeight="1"/>
    <row r="23" spans="2:11" s="14" customFormat="1" ht="18.75">
      <c r="B23" s="77" t="s">
        <v>247</v>
      </c>
      <c r="C23" s="16">
        <f ca="1">SUM('Resultados mensuales '!C41:N41)</f>
        <v>0</v>
      </c>
      <c r="E23" s="16">
        <f ca="1">SUM('Resultados mensuales '!$O$41:$Z$41)</f>
        <v>0</v>
      </c>
      <c r="G23" s="16">
        <f ca="1">SUM('Resultados mensuales '!$AA$41:$OZ$41)</f>
        <v>0</v>
      </c>
    </row>
    <row r="24" spans="2:11" ht="3.75" customHeight="1"/>
    <row r="25" spans="2:11" s="14" customFormat="1" ht="18.75">
      <c r="B25" s="101" t="s">
        <v>248</v>
      </c>
      <c r="C25" s="78">
        <f ca="1">+C21+C23</f>
        <v>0</v>
      </c>
      <c r="D25" s="79" t="str">
        <f t="shared" ref="D25" ca="1" si="15">IF(ISERROR(+C25/C$4),"",(+C25/C$4))</f>
        <v/>
      </c>
      <c r="E25" s="78">
        <f ca="1">+E21+E23</f>
        <v>0</v>
      </c>
      <c r="F25" s="79" t="str">
        <f t="shared" ref="F25" ca="1" si="16">IF(ISERROR(+E25/E$4),"",(+E25/E$4))</f>
        <v/>
      </c>
      <c r="G25" s="78">
        <f ca="1">+G21+G23</f>
        <v>0</v>
      </c>
      <c r="H25" s="79" t="str">
        <f t="shared" ref="H25" ca="1" si="17">IF(ISERROR(+G25/G$4),"",(+G25/G$4))</f>
        <v/>
      </c>
    </row>
    <row r="26" spans="2:11" ht="3" customHeight="1" thickBot="1"/>
    <row r="27" spans="2:11" ht="19.5" thickBot="1">
      <c r="B27" s="101" t="s">
        <v>250</v>
      </c>
      <c r="C27" s="161">
        <f ca="1">IF(ISERROR(SUM(C10:C19)/-D8),0,(SUM(C10:C19)/-D8))</f>
        <v>0</v>
      </c>
      <c r="E27" s="161">
        <f ca="1">IF(ISERROR(SUM(E10:E19)/-F8),0,(SUM(E10:E19)/-F8))</f>
        <v>0</v>
      </c>
      <c r="G27" s="161">
        <f ca="1">IF(ISERROR(SUM(G10:G19)/-H8),0,(SUM(G10:G19)/-H8))</f>
        <v>0</v>
      </c>
    </row>
    <row r="28" spans="2:11" ht="7.5" customHeight="1" thickBot="1"/>
    <row r="29" spans="2:11" ht="19.5" thickBot="1">
      <c r="B29" s="101" t="s">
        <v>388</v>
      </c>
      <c r="C29" s="161">
        <f ca="1">+C21-C18-C17</f>
        <v>0</v>
      </c>
      <c r="E29" s="161">
        <f ca="1">+E21-E18-E17</f>
        <v>0</v>
      </c>
      <c r="G29" s="161">
        <f ca="1">+G21-G18-G17</f>
        <v>0</v>
      </c>
      <c r="K29" s="5" t="s">
        <v>46</v>
      </c>
    </row>
    <row r="30" spans="2:11">
      <c r="D30" s="5" t="s">
        <v>46</v>
      </c>
    </row>
    <row r="33" spans="2:3">
      <c r="B33" s="5" t="s">
        <v>363</v>
      </c>
      <c r="C33" s="8">
        <f>+C5+C6</f>
        <v>0</v>
      </c>
    </row>
    <row r="34" spans="2:3" ht="15.75">
      <c r="B34" s="14" t="s">
        <v>364</v>
      </c>
      <c r="C34" s="16">
        <f>+C10+C11</f>
        <v>0</v>
      </c>
    </row>
    <row r="35" spans="2:3" ht="15.75">
      <c r="B35" s="14" t="str">
        <f>+B12</f>
        <v>Publicidad</v>
      </c>
      <c r="C35" s="16">
        <f>+C12</f>
        <v>0</v>
      </c>
    </row>
    <row r="36" spans="2:3" ht="15.75">
      <c r="B36" s="14">
        <f>+B13</f>
        <v>0</v>
      </c>
      <c r="C36" s="16">
        <f>+C13</f>
        <v>0</v>
      </c>
    </row>
    <row r="37" spans="2:3">
      <c r="B37" s="5" t="s">
        <v>357</v>
      </c>
      <c r="C37" s="8">
        <f ca="1">SUM(C14:C19)</f>
        <v>0</v>
      </c>
    </row>
  </sheetData>
  <sheetProtection sheet="1" objects="1" scenarios="1"/>
  <pageMargins left="0.7" right="0.7" top="0.75" bottom="0.75" header="0.3" footer="0.3"/>
  <pageSetup paperSize="9" scale="86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tabColor rgb="FFFFC000"/>
  </sheetPr>
  <dimension ref="B1:AL45"/>
  <sheetViews>
    <sheetView zoomScaleNormal="100" workbookViewId="0">
      <pane xSplit="2" ySplit="2" topLeftCell="C3" activePane="bottomRight" state="frozen"/>
      <selection activeCell="D22" sqref="D22"/>
      <selection pane="topRight" activeCell="D22" sqref="D22"/>
      <selection pane="bottomLeft" activeCell="D22" sqref="D22"/>
      <selection pane="bottomRight"/>
    </sheetView>
  </sheetViews>
  <sheetFormatPr baseColWidth="10" defaultColWidth="11.42578125" defaultRowHeight="15" outlineLevelRow="1"/>
  <cols>
    <col min="1" max="1" width="6.85546875" style="5" customWidth="1"/>
    <col min="2" max="2" width="32.28515625" style="5" customWidth="1"/>
    <col min="3" max="14" width="10.7109375" style="5" customWidth="1"/>
    <col min="15" max="16384" width="11.42578125" style="5"/>
  </cols>
  <sheetData>
    <row r="1" spans="2:38" ht="24.75" customHeight="1">
      <c r="B1" s="10" t="s">
        <v>115</v>
      </c>
      <c r="C1" s="1257">
        <f>+Resultados!C2</f>
        <v>2021</v>
      </c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8">
        <f>+Resultados!E2</f>
        <v>2022</v>
      </c>
      <c r="P1" s="1258"/>
      <c r="Q1" s="1258"/>
      <c r="R1" s="1258"/>
      <c r="S1" s="1258"/>
      <c r="T1" s="1258"/>
      <c r="U1" s="1258"/>
      <c r="V1" s="1258"/>
      <c r="W1" s="1258"/>
      <c r="X1" s="1258"/>
      <c r="Y1" s="1258"/>
      <c r="Z1" s="1258"/>
      <c r="AA1" s="1257">
        <f>+Resultados!G2</f>
        <v>2023</v>
      </c>
      <c r="AB1" s="1257"/>
      <c r="AC1" s="1257"/>
      <c r="AD1" s="1257"/>
      <c r="AE1" s="1257"/>
      <c r="AF1" s="1257"/>
      <c r="AG1" s="1257"/>
      <c r="AH1" s="1257"/>
      <c r="AI1" s="1257"/>
      <c r="AJ1" s="1257"/>
      <c r="AK1" s="1257"/>
      <c r="AL1" s="1257"/>
    </row>
    <row r="2" spans="2:38" ht="18.75">
      <c r="C2" s="15">
        <f>+Cuestionario!$C$11</f>
        <v>44197</v>
      </c>
      <c r="D2" s="15">
        <f>EDATE(C2,1)</f>
        <v>44228</v>
      </c>
      <c r="E2" s="15">
        <f t="shared" ref="E2:N2" si="0">EDATE(D2,1)</f>
        <v>44256</v>
      </c>
      <c r="F2" s="15">
        <f t="shared" si="0"/>
        <v>44287</v>
      </c>
      <c r="G2" s="15">
        <f t="shared" si="0"/>
        <v>44317</v>
      </c>
      <c r="H2" s="15">
        <f t="shared" si="0"/>
        <v>44348</v>
      </c>
      <c r="I2" s="15">
        <f t="shared" si="0"/>
        <v>44378</v>
      </c>
      <c r="J2" s="15">
        <f t="shared" si="0"/>
        <v>44409</v>
      </c>
      <c r="K2" s="15">
        <f t="shared" si="0"/>
        <v>44440</v>
      </c>
      <c r="L2" s="15">
        <f t="shared" si="0"/>
        <v>44470</v>
      </c>
      <c r="M2" s="15">
        <f t="shared" si="0"/>
        <v>44501</v>
      </c>
      <c r="N2" s="70">
        <f t="shared" si="0"/>
        <v>44531</v>
      </c>
      <c r="O2" s="72">
        <f>EDATE(N2,1)</f>
        <v>44562</v>
      </c>
      <c r="P2" s="73">
        <f t="shared" ref="P2:AL2" si="1">EDATE(O2,1)</f>
        <v>44593</v>
      </c>
      <c r="Q2" s="73">
        <f t="shared" si="1"/>
        <v>44621</v>
      </c>
      <c r="R2" s="73">
        <f t="shared" si="1"/>
        <v>44652</v>
      </c>
      <c r="S2" s="73">
        <f t="shared" si="1"/>
        <v>44682</v>
      </c>
      <c r="T2" s="73">
        <f t="shared" si="1"/>
        <v>44713</v>
      </c>
      <c r="U2" s="73">
        <f t="shared" si="1"/>
        <v>44743</v>
      </c>
      <c r="V2" s="73">
        <f t="shared" si="1"/>
        <v>44774</v>
      </c>
      <c r="W2" s="73">
        <f t="shared" si="1"/>
        <v>44805</v>
      </c>
      <c r="X2" s="73">
        <f t="shared" si="1"/>
        <v>44835</v>
      </c>
      <c r="Y2" s="73">
        <f t="shared" si="1"/>
        <v>44866</v>
      </c>
      <c r="Z2" s="74">
        <f t="shared" si="1"/>
        <v>44896</v>
      </c>
      <c r="AA2" s="71">
        <f t="shared" si="1"/>
        <v>44927</v>
      </c>
      <c r="AB2" s="15">
        <f t="shared" si="1"/>
        <v>44958</v>
      </c>
      <c r="AC2" s="15">
        <f t="shared" si="1"/>
        <v>44986</v>
      </c>
      <c r="AD2" s="15">
        <f t="shared" si="1"/>
        <v>45017</v>
      </c>
      <c r="AE2" s="15">
        <f t="shared" si="1"/>
        <v>45047</v>
      </c>
      <c r="AF2" s="15">
        <f t="shared" si="1"/>
        <v>45078</v>
      </c>
      <c r="AG2" s="15">
        <f t="shared" si="1"/>
        <v>45108</v>
      </c>
      <c r="AH2" s="15">
        <f t="shared" si="1"/>
        <v>45139</v>
      </c>
      <c r="AI2" s="15">
        <f t="shared" si="1"/>
        <v>45170</v>
      </c>
      <c r="AJ2" s="15">
        <f t="shared" si="1"/>
        <v>45200</v>
      </c>
      <c r="AK2" s="15">
        <f t="shared" si="1"/>
        <v>45231</v>
      </c>
      <c r="AL2" s="15">
        <f t="shared" si="1"/>
        <v>45261</v>
      </c>
    </row>
    <row r="3" spans="2:38" s="14" customFormat="1" ht="15.75">
      <c r="I3" s="14" t="s">
        <v>46</v>
      </c>
    </row>
    <row r="4" spans="2:38" s="104" customFormat="1" ht="18.75">
      <c r="B4" s="101" t="s">
        <v>82</v>
      </c>
      <c r="C4" s="565">
        <f>+'INGRESOS-GASTOS'!G17</f>
        <v>0</v>
      </c>
      <c r="D4" s="565">
        <f>+'INGRESOS-GASTOS'!H17</f>
        <v>0</v>
      </c>
      <c r="E4" s="565">
        <f>+'INGRESOS-GASTOS'!I17</f>
        <v>0</v>
      </c>
      <c r="F4" s="565">
        <f>+'INGRESOS-GASTOS'!J17</f>
        <v>0</v>
      </c>
      <c r="G4" s="565">
        <f>+'INGRESOS-GASTOS'!K17</f>
        <v>0</v>
      </c>
      <c r="H4" s="565">
        <f>+'INGRESOS-GASTOS'!L17</f>
        <v>0</v>
      </c>
      <c r="I4" s="565">
        <f>+'INGRESOS-GASTOS'!M17</f>
        <v>0</v>
      </c>
      <c r="J4" s="565">
        <f>+'INGRESOS-GASTOS'!N17</f>
        <v>0</v>
      </c>
      <c r="K4" s="565">
        <f>+'INGRESOS-GASTOS'!O17</f>
        <v>0</v>
      </c>
      <c r="L4" s="565">
        <f>+'INGRESOS-GASTOS'!P17</f>
        <v>0</v>
      </c>
      <c r="M4" s="565">
        <f>+'INGRESOS-GASTOS'!Q17</f>
        <v>0</v>
      </c>
      <c r="N4" s="565">
        <f>+'INGRESOS-GASTOS'!R17</f>
        <v>0</v>
      </c>
      <c r="O4" s="565">
        <f>+'INGRESOS-GASTOS'!S17</f>
        <v>0</v>
      </c>
      <c r="P4" s="565">
        <f>+'INGRESOS-GASTOS'!T17</f>
        <v>0</v>
      </c>
      <c r="Q4" s="565">
        <f>+'INGRESOS-GASTOS'!U17</f>
        <v>0</v>
      </c>
      <c r="R4" s="565">
        <f>+'INGRESOS-GASTOS'!V17</f>
        <v>0</v>
      </c>
      <c r="S4" s="565">
        <f>+'INGRESOS-GASTOS'!W17</f>
        <v>0</v>
      </c>
      <c r="T4" s="565">
        <f>+'INGRESOS-GASTOS'!X17</f>
        <v>0</v>
      </c>
      <c r="U4" s="565">
        <f>+'INGRESOS-GASTOS'!Y17</f>
        <v>0</v>
      </c>
      <c r="V4" s="565">
        <f>+'INGRESOS-GASTOS'!Z17</f>
        <v>0</v>
      </c>
      <c r="W4" s="565">
        <f>+'INGRESOS-GASTOS'!AA17</f>
        <v>0</v>
      </c>
      <c r="X4" s="565">
        <f>+'INGRESOS-GASTOS'!AB17</f>
        <v>0</v>
      </c>
      <c r="Y4" s="565">
        <f>+'INGRESOS-GASTOS'!AC17</f>
        <v>0</v>
      </c>
      <c r="Z4" s="565">
        <f>+'INGRESOS-GASTOS'!AD17</f>
        <v>0</v>
      </c>
      <c r="AA4" s="565">
        <f>+'INGRESOS-GASTOS'!AE17</f>
        <v>0</v>
      </c>
      <c r="AB4" s="565">
        <f>+'INGRESOS-GASTOS'!AF17</f>
        <v>0</v>
      </c>
      <c r="AC4" s="565">
        <f>+'INGRESOS-GASTOS'!AG17</f>
        <v>0</v>
      </c>
      <c r="AD4" s="565">
        <f>+'INGRESOS-GASTOS'!AH17</f>
        <v>0</v>
      </c>
      <c r="AE4" s="565">
        <f>+'INGRESOS-GASTOS'!AI17</f>
        <v>0</v>
      </c>
      <c r="AF4" s="565">
        <f>+'INGRESOS-GASTOS'!AJ17</f>
        <v>0</v>
      </c>
      <c r="AG4" s="565">
        <f>+'INGRESOS-GASTOS'!AK17</f>
        <v>0</v>
      </c>
      <c r="AH4" s="565">
        <f>+'INGRESOS-GASTOS'!AL17</f>
        <v>0</v>
      </c>
      <c r="AI4" s="565">
        <f>+'INGRESOS-GASTOS'!AM17</f>
        <v>0</v>
      </c>
      <c r="AJ4" s="565">
        <f>+'INGRESOS-GASTOS'!AN17</f>
        <v>0</v>
      </c>
      <c r="AK4" s="565">
        <f>+'INGRESOS-GASTOS'!AO17</f>
        <v>0</v>
      </c>
      <c r="AL4" s="565">
        <f>+'INGRESOS-GASTOS'!AP17</f>
        <v>0</v>
      </c>
    </row>
    <row r="5" spans="2:38" s="14" customFormat="1" ht="15.75">
      <c r="B5" s="14" t="str">
        <f>+Catálogo!F5</f>
        <v>Coste de compra sin IVA</v>
      </c>
      <c r="C5" s="566">
        <f>-'INGRESOS-GASTOS'!G82</f>
        <v>0</v>
      </c>
      <c r="D5" s="566">
        <f>-'INGRESOS-GASTOS'!H82</f>
        <v>0</v>
      </c>
      <c r="E5" s="566">
        <f>-'INGRESOS-GASTOS'!I82</f>
        <v>0</v>
      </c>
      <c r="F5" s="566">
        <f>-'INGRESOS-GASTOS'!J82</f>
        <v>0</v>
      </c>
      <c r="G5" s="566">
        <f>-'INGRESOS-GASTOS'!K82</f>
        <v>0</v>
      </c>
      <c r="H5" s="566">
        <f>-'INGRESOS-GASTOS'!L82</f>
        <v>0</v>
      </c>
      <c r="I5" s="566">
        <f>-'INGRESOS-GASTOS'!M82</f>
        <v>0</v>
      </c>
      <c r="J5" s="566">
        <f>-'INGRESOS-GASTOS'!N82</f>
        <v>0</v>
      </c>
      <c r="K5" s="566">
        <f>-'INGRESOS-GASTOS'!O82</f>
        <v>0</v>
      </c>
      <c r="L5" s="566">
        <f>-'INGRESOS-GASTOS'!P82</f>
        <v>0</v>
      </c>
      <c r="M5" s="566">
        <f>-'INGRESOS-GASTOS'!Q82</f>
        <v>0</v>
      </c>
      <c r="N5" s="566">
        <f>-'INGRESOS-GASTOS'!R82</f>
        <v>0</v>
      </c>
      <c r="O5" s="566">
        <f>-'INGRESOS-GASTOS'!S82</f>
        <v>0</v>
      </c>
      <c r="P5" s="566">
        <f>-'INGRESOS-GASTOS'!T82</f>
        <v>0</v>
      </c>
      <c r="Q5" s="566">
        <f>-'INGRESOS-GASTOS'!U82</f>
        <v>0</v>
      </c>
      <c r="R5" s="566">
        <f>-'INGRESOS-GASTOS'!V82</f>
        <v>0</v>
      </c>
      <c r="S5" s="566">
        <f>-'INGRESOS-GASTOS'!W82</f>
        <v>0</v>
      </c>
      <c r="T5" s="566">
        <f>-'INGRESOS-GASTOS'!X82</f>
        <v>0</v>
      </c>
      <c r="U5" s="566">
        <f>-'INGRESOS-GASTOS'!Y82</f>
        <v>0</v>
      </c>
      <c r="V5" s="566">
        <f>-'INGRESOS-GASTOS'!Z82</f>
        <v>0</v>
      </c>
      <c r="W5" s="566">
        <f>-'INGRESOS-GASTOS'!AA82</f>
        <v>0</v>
      </c>
      <c r="X5" s="566">
        <f>-'INGRESOS-GASTOS'!AB82</f>
        <v>0</v>
      </c>
      <c r="Y5" s="566">
        <f>-'INGRESOS-GASTOS'!AC82</f>
        <v>0</v>
      </c>
      <c r="Z5" s="566">
        <f>-'INGRESOS-GASTOS'!AD82</f>
        <v>0</v>
      </c>
      <c r="AA5" s="566">
        <f>-'INGRESOS-GASTOS'!AE82</f>
        <v>0</v>
      </c>
      <c r="AB5" s="566">
        <f>-'INGRESOS-GASTOS'!AF82</f>
        <v>0</v>
      </c>
      <c r="AC5" s="566">
        <f>-'INGRESOS-GASTOS'!AG82</f>
        <v>0</v>
      </c>
      <c r="AD5" s="566">
        <f>-'INGRESOS-GASTOS'!AH82</f>
        <v>0</v>
      </c>
      <c r="AE5" s="566">
        <f>-'INGRESOS-GASTOS'!AI82</f>
        <v>0</v>
      </c>
      <c r="AF5" s="566">
        <f>-'INGRESOS-GASTOS'!AJ82</f>
        <v>0</v>
      </c>
      <c r="AG5" s="566">
        <f>-'INGRESOS-GASTOS'!AK82</f>
        <v>0</v>
      </c>
      <c r="AH5" s="566">
        <f>-'INGRESOS-GASTOS'!AL82</f>
        <v>0</v>
      </c>
      <c r="AI5" s="566">
        <f>-'INGRESOS-GASTOS'!AM82</f>
        <v>0</v>
      </c>
      <c r="AJ5" s="566">
        <f>-'INGRESOS-GASTOS'!AN82</f>
        <v>0</v>
      </c>
      <c r="AK5" s="566">
        <f>-'INGRESOS-GASTOS'!AO82</f>
        <v>0</v>
      </c>
      <c r="AL5" s="566">
        <f>-'INGRESOS-GASTOS'!AP82</f>
        <v>0</v>
      </c>
    </row>
    <row r="6" spans="2:38" s="14" customFormat="1" ht="15.75">
      <c r="B6" s="14" t="str">
        <f>+Catálogo!J5</f>
        <v>Otros costes variables</v>
      </c>
      <c r="C6" s="566">
        <f>-'INGRESOS-GASTOS'!G147</f>
        <v>0</v>
      </c>
      <c r="D6" s="566">
        <f>-'INGRESOS-GASTOS'!H147</f>
        <v>0</v>
      </c>
      <c r="E6" s="566">
        <f>-'INGRESOS-GASTOS'!I147</f>
        <v>0</v>
      </c>
      <c r="F6" s="566">
        <f>-'INGRESOS-GASTOS'!J147</f>
        <v>0</v>
      </c>
      <c r="G6" s="566">
        <f>-'INGRESOS-GASTOS'!K147</f>
        <v>0</v>
      </c>
      <c r="H6" s="566">
        <f>-'INGRESOS-GASTOS'!L147</f>
        <v>0</v>
      </c>
      <c r="I6" s="566">
        <f>-'INGRESOS-GASTOS'!M147</f>
        <v>0</v>
      </c>
      <c r="J6" s="566">
        <f>-'INGRESOS-GASTOS'!N147</f>
        <v>0</v>
      </c>
      <c r="K6" s="566">
        <f>-'INGRESOS-GASTOS'!O147</f>
        <v>0</v>
      </c>
      <c r="L6" s="566">
        <f>-'INGRESOS-GASTOS'!P147</f>
        <v>0</v>
      </c>
      <c r="M6" s="566">
        <f>-'INGRESOS-GASTOS'!Q147</f>
        <v>0</v>
      </c>
      <c r="N6" s="566">
        <f>-'INGRESOS-GASTOS'!R147</f>
        <v>0</v>
      </c>
      <c r="O6" s="566">
        <f>-'INGRESOS-GASTOS'!S147</f>
        <v>0</v>
      </c>
      <c r="P6" s="566">
        <f>-'INGRESOS-GASTOS'!T147</f>
        <v>0</v>
      </c>
      <c r="Q6" s="566">
        <f>-'INGRESOS-GASTOS'!U147</f>
        <v>0</v>
      </c>
      <c r="R6" s="566">
        <f>-'INGRESOS-GASTOS'!V147</f>
        <v>0</v>
      </c>
      <c r="S6" s="566">
        <f>-'INGRESOS-GASTOS'!W147</f>
        <v>0</v>
      </c>
      <c r="T6" s="566">
        <f>-'INGRESOS-GASTOS'!X147</f>
        <v>0</v>
      </c>
      <c r="U6" s="566">
        <f>-'INGRESOS-GASTOS'!Y147</f>
        <v>0</v>
      </c>
      <c r="V6" s="566">
        <f>-'INGRESOS-GASTOS'!Z147</f>
        <v>0</v>
      </c>
      <c r="W6" s="566">
        <f>-'INGRESOS-GASTOS'!AA147</f>
        <v>0</v>
      </c>
      <c r="X6" s="566">
        <f>-'INGRESOS-GASTOS'!AB147</f>
        <v>0</v>
      </c>
      <c r="Y6" s="566">
        <f>-'INGRESOS-GASTOS'!AC147</f>
        <v>0</v>
      </c>
      <c r="Z6" s="566">
        <f>-'INGRESOS-GASTOS'!AD147</f>
        <v>0</v>
      </c>
      <c r="AA6" s="566">
        <f>-'INGRESOS-GASTOS'!AE147</f>
        <v>0</v>
      </c>
      <c r="AB6" s="566">
        <f>-'INGRESOS-GASTOS'!AF147</f>
        <v>0</v>
      </c>
      <c r="AC6" s="566">
        <f>-'INGRESOS-GASTOS'!AG147</f>
        <v>0</v>
      </c>
      <c r="AD6" s="566">
        <f>-'INGRESOS-GASTOS'!AH147</f>
        <v>0</v>
      </c>
      <c r="AE6" s="566">
        <f>-'INGRESOS-GASTOS'!AI147</f>
        <v>0</v>
      </c>
      <c r="AF6" s="566">
        <f>-'INGRESOS-GASTOS'!AJ147</f>
        <v>0</v>
      </c>
      <c r="AG6" s="566">
        <f>-'INGRESOS-GASTOS'!AK147</f>
        <v>0</v>
      </c>
      <c r="AH6" s="566">
        <f>-'INGRESOS-GASTOS'!AL147</f>
        <v>0</v>
      </c>
      <c r="AI6" s="566">
        <f>-'INGRESOS-GASTOS'!AM147</f>
        <v>0</v>
      </c>
      <c r="AJ6" s="566">
        <f>-'INGRESOS-GASTOS'!AN147</f>
        <v>0</v>
      </c>
      <c r="AK6" s="566">
        <f>-'INGRESOS-GASTOS'!AO147</f>
        <v>0</v>
      </c>
      <c r="AL6" s="566">
        <f>-'INGRESOS-GASTOS'!AP147</f>
        <v>0</v>
      </c>
    </row>
    <row r="7" spans="2:38" s="104" customFormat="1" ht="15.75">
      <c r="B7" s="104" t="s">
        <v>191</v>
      </c>
      <c r="C7" s="567">
        <f>SUM(C4:C6)</f>
        <v>0</v>
      </c>
      <c r="D7" s="567">
        <f>SUM(D4:D6)</f>
        <v>0</v>
      </c>
      <c r="E7" s="567">
        <f t="shared" ref="E7:AL7" si="2">SUM(E4:E6)</f>
        <v>0</v>
      </c>
      <c r="F7" s="567">
        <f t="shared" si="2"/>
        <v>0</v>
      </c>
      <c r="G7" s="567">
        <f t="shared" si="2"/>
        <v>0</v>
      </c>
      <c r="H7" s="567">
        <f t="shared" si="2"/>
        <v>0</v>
      </c>
      <c r="I7" s="567">
        <f t="shared" si="2"/>
        <v>0</v>
      </c>
      <c r="J7" s="567">
        <f t="shared" si="2"/>
        <v>0</v>
      </c>
      <c r="K7" s="567">
        <f t="shared" si="2"/>
        <v>0</v>
      </c>
      <c r="L7" s="567">
        <f t="shared" si="2"/>
        <v>0</v>
      </c>
      <c r="M7" s="567">
        <f t="shared" si="2"/>
        <v>0</v>
      </c>
      <c r="N7" s="567">
        <f t="shared" si="2"/>
        <v>0</v>
      </c>
      <c r="O7" s="567">
        <f t="shared" si="2"/>
        <v>0</v>
      </c>
      <c r="P7" s="567">
        <f t="shared" si="2"/>
        <v>0</v>
      </c>
      <c r="Q7" s="567">
        <f t="shared" si="2"/>
        <v>0</v>
      </c>
      <c r="R7" s="567">
        <f t="shared" si="2"/>
        <v>0</v>
      </c>
      <c r="S7" s="567">
        <f t="shared" si="2"/>
        <v>0</v>
      </c>
      <c r="T7" s="567">
        <f t="shared" si="2"/>
        <v>0</v>
      </c>
      <c r="U7" s="567">
        <f t="shared" si="2"/>
        <v>0</v>
      </c>
      <c r="V7" s="567">
        <f t="shared" si="2"/>
        <v>0</v>
      </c>
      <c r="W7" s="567">
        <f t="shared" si="2"/>
        <v>0</v>
      </c>
      <c r="X7" s="567">
        <f t="shared" si="2"/>
        <v>0</v>
      </c>
      <c r="Y7" s="567">
        <f t="shared" si="2"/>
        <v>0</v>
      </c>
      <c r="Z7" s="567">
        <f t="shared" si="2"/>
        <v>0</v>
      </c>
      <c r="AA7" s="567">
        <f t="shared" si="2"/>
        <v>0</v>
      </c>
      <c r="AB7" s="567">
        <f t="shared" si="2"/>
        <v>0</v>
      </c>
      <c r="AC7" s="567">
        <f t="shared" si="2"/>
        <v>0</v>
      </c>
      <c r="AD7" s="567">
        <f t="shared" si="2"/>
        <v>0</v>
      </c>
      <c r="AE7" s="567">
        <f t="shared" si="2"/>
        <v>0</v>
      </c>
      <c r="AF7" s="567">
        <f t="shared" si="2"/>
        <v>0</v>
      </c>
      <c r="AG7" s="567">
        <f t="shared" si="2"/>
        <v>0</v>
      </c>
      <c r="AH7" s="567">
        <f t="shared" si="2"/>
        <v>0</v>
      </c>
      <c r="AI7" s="567">
        <f t="shared" si="2"/>
        <v>0</v>
      </c>
      <c r="AJ7" s="567">
        <f t="shared" si="2"/>
        <v>0</v>
      </c>
      <c r="AK7" s="567">
        <f t="shared" si="2"/>
        <v>0</v>
      </c>
      <c r="AL7" s="567">
        <f t="shared" si="2"/>
        <v>0</v>
      </c>
    </row>
    <row r="8" spans="2:38" s="14" customFormat="1" ht="15.75"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2"/>
      <c r="AL8" s="282"/>
    </row>
    <row r="9" spans="2:38" s="14" customFormat="1" ht="15.75">
      <c r="B9" s="99" t="str">
        <f>+'Otros Gastos'!B11</f>
        <v>Sueldos y salarios</v>
      </c>
      <c r="C9" s="566">
        <f>-+'Otros Gastos'!D11</f>
        <v>0</v>
      </c>
      <c r="D9" s="566">
        <f>-+'Otros Gastos'!E11</f>
        <v>0</v>
      </c>
      <c r="E9" s="566">
        <f>-+'Otros Gastos'!F11</f>
        <v>0</v>
      </c>
      <c r="F9" s="566">
        <f>-+'Otros Gastos'!G11</f>
        <v>0</v>
      </c>
      <c r="G9" s="566">
        <f>-+'Otros Gastos'!H11</f>
        <v>0</v>
      </c>
      <c r="H9" s="566">
        <f>-+'Otros Gastos'!I11</f>
        <v>0</v>
      </c>
      <c r="I9" s="566">
        <f>-+'Otros Gastos'!J11</f>
        <v>0</v>
      </c>
      <c r="J9" s="566">
        <f>-+'Otros Gastos'!K11</f>
        <v>0</v>
      </c>
      <c r="K9" s="566">
        <f>-+'Otros Gastos'!L11</f>
        <v>0</v>
      </c>
      <c r="L9" s="566">
        <f>-+'Otros Gastos'!M11</f>
        <v>0</v>
      </c>
      <c r="M9" s="566">
        <f>-+'Otros Gastos'!N11</f>
        <v>0</v>
      </c>
      <c r="N9" s="566">
        <f>-+'Otros Gastos'!O11</f>
        <v>0</v>
      </c>
      <c r="O9" s="566">
        <f>-+'Otros Gastos'!P11</f>
        <v>0</v>
      </c>
      <c r="P9" s="566">
        <f>-+'Otros Gastos'!Q11</f>
        <v>0</v>
      </c>
      <c r="Q9" s="566">
        <f>-+'Otros Gastos'!R11</f>
        <v>0</v>
      </c>
      <c r="R9" s="566">
        <f>-+'Otros Gastos'!S11</f>
        <v>0</v>
      </c>
      <c r="S9" s="566">
        <f>-+'Otros Gastos'!T11</f>
        <v>0</v>
      </c>
      <c r="T9" s="566">
        <f>-+'Otros Gastos'!U11</f>
        <v>0</v>
      </c>
      <c r="U9" s="566">
        <f>-+'Otros Gastos'!V11</f>
        <v>0</v>
      </c>
      <c r="V9" s="566">
        <f>-+'Otros Gastos'!W11</f>
        <v>0</v>
      </c>
      <c r="W9" s="566">
        <f>-+'Otros Gastos'!X11</f>
        <v>0</v>
      </c>
      <c r="X9" s="566">
        <f>-+'Otros Gastos'!Y11</f>
        <v>0</v>
      </c>
      <c r="Y9" s="566">
        <f>-+'Otros Gastos'!Z11</f>
        <v>0</v>
      </c>
      <c r="Z9" s="566">
        <f>-+'Otros Gastos'!AA11</f>
        <v>0</v>
      </c>
      <c r="AA9" s="566">
        <f>-+'Otros Gastos'!AB11</f>
        <v>0</v>
      </c>
      <c r="AB9" s="566">
        <f>-+'Otros Gastos'!AC11</f>
        <v>0</v>
      </c>
      <c r="AC9" s="566">
        <f>-+'Otros Gastos'!AD11</f>
        <v>0</v>
      </c>
      <c r="AD9" s="566">
        <f>-+'Otros Gastos'!AE11</f>
        <v>0</v>
      </c>
      <c r="AE9" s="566">
        <f>-+'Otros Gastos'!AF11</f>
        <v>0</v>
      </c>
      <c r="AF9" s="566">
        <f>-+'Otros Gastos'!AG11</f>
        <v>0</v>
      </c>
      <c r="AG9" s="566">
        <f>-+'Otros Gastos'!AH11</f>
        <v>0</v>
      </c>
      <c r="AH9" s="566">
        <f>-+'Otros Gastos'!AI11</f>
        <v>0</v>
      </c>
      <c r="AI9" s="566">
        <f>-+'Otros Gastos'!AJ11</f>
        <v>0</v>
      </c>
      <c r="AJ9" s="566">
        <f>-+'Otros Gastos'!AK11</f>
        <v>0</v>
      </c>
      <c r="AK9" s="566">
        <f>-+'Otros Gastos'!AL11</f>
        <v>0</v>
      </c>
      <c r="AL9" s="566">
        <f>-+'Otros Gastos'!AM11</f>
        <v>0</v>
      </c>
    </row>
    <row r="10" spans="2:38" s="14" customFormat="1" ht="15.75">
      <c r="B10" s="99" t="str">
        <f>+'Otros Gastos'!B12</f>
        <v>Seguridad social</v>
      </c>
      <c r="C10" s="566">
        <f>-+'Otros Gastos'!D12</f>
        <v>0</v>
      </c>
      <c r="D10" s="566">
        <f>-+'Otros Gastos'!E12</f>
        <v>0</v>
      </c>
      <c r="E10" s="566">
        <f>-+'Otros Gastos'!F12</f>
        <v>0</v>
      </c>
      <c r="F10" s="566">
        <f>-+'Otros Gastos'!G12</f>
        <v>0</v>
      </c>
      <c r="G10" s="566">
        <f>-+'Otros Gastos'!H12</f>
        <v>0</v>
      </c>
      <c r="H10" s="566">
        <f>-+'Otros Gastos'!I12</f>
        <v>0</v>
      </c>
      <c r="I10" s="566">
        <f>-+'Otros Gastos'!J12</f>
        <v>0</v>
      </c>
      <c r="J10" s="566">
        <f>-+'Otros Gastos'!K12</f>
        <v>0</v>
      </c>
      <c r="K10" s="566">
        <f>-+'Otros Gastos'!L12</f>
        <v>0</v>
      </c>
      <c r="L10" s="566">
        <f>-+'Otros Gastos'!M12</f>
        <v>0</v>
      </c>
      <c r="M10" s="566">
        <f>-+'Otros Gastos'!N12</f>
        <v>0</v>
      </c>
      <c r="N10" s="566">
        <f>-+'Otros Gastos'!O12</f>
        <v>0</v>
      </c>
      <c r="O10" s="566">
        <f>-+'Otros Gastos'!P12</f>
        <v>0</v>
      </c>
      <c r="P10" s="566">
        <f>-+'Otros Gastos'!Q12</f>
        <v>0</v>
      </c>
      <c r="Q10" s="566">
        <f>-+'Otros Gastos'!R12</f>
        <v>0</v>
      </c>
      <c r="R10" s="566">
        <f>-+'Otros Gastos'!S12</f>
        <v>0</v>
      </c>
      <c r="S10" s="566">
        <f>-+'Otros Gastos'!T12</f>
        <v>0</v>
      </c>
      <c r="T10" s="566">
        <f>-+'Otros Gastos'!U12</f>
        <v>0</v>
      </c>
      <c r="U10" s="566">
        <f>-+'Otros Gastos'!V12</f>
        <v>0</v>
      </c>
      <c r="V10" s="566">
        <f>-+'Otros Gastos'!W12</f>
        <v>0</v>
      </c>
      <c r="W10" s="566">
        <f>-+'Otros Gastos'!X12</f>
        <v>0</v>
      </c>
      <c r="X10" s="566">
        <f>-+'Otros Gastos'!Y12</f>
        <v>0</v>
      </c>
      <c r="Y10" s="566">
        <f>-+'Otros Gastos'!Z12</f>
        <v>0</v>
      </c>
      <c r="Z10" s="566">
        <f>-+'Otros Gastos'!AA12</f>
        <v>0</v>
      </c>
      <c r="AA10" s="566">
        <f>-+'Otros Gastos'!AB12</f>
        <v>0</v>
      </c>
      <c r="AB10" s="566">
        <f>-+'Otros Gastos'!AC12</f>
        <v>0</v>
      </c>
      <c r="AC10" s="566">
        <f>-+'Otros Gastos'!AD12</f>
        <v>0</v>
      </c>
      <c r="AD10" s="566">
        <f>-+'Otros Gastos'!AE12</f>
        <v>0</v>
      </c>
      <c r="AE10" s="566">
        <f>-+'Otros Gastos'!AF12</f>
        <v>0</v>
      </c>
      <c r="AF10" s="566">
        <f>-+'Otros Gastos'!AG12</f>
        <v>0</v>
      </c>
      <c r="AG10" s="566">
        <f>-+'Otros Gastos'!AH12</f>
        <v>0</v>
      </c>
      <c r="AH10" s="566">
        <f>-+'Otros Gastos'!AI12</f>
        <v>0</v>
      </c>
      <c r="AI10" s="566">
        <f>-+'Otros Gastos'!AJ12</f>
        <v>0</v>
      </c>
      <c r="AJ10" s="566">
        <f>-+'Otros Gastos'!AK12</f>
        <v>0</v>
      </c>
      <c r="AK10" s="566">
        <f>-+'Otros Gastos'!AL12</f>
        <v>0</v>
      </c>
      <c r="AL10" s="566">
        <f>-+'Otros Gastos'!AM12</f>
        <v>0</v>
      </c>
    </row>
    <row r="11" spans="2:38" s="14" customFormat="1" ht="15.75">
      <c r="B11" s="99" t="str">
        <f>+'Otros Gastos'!B13</f>
        <v>Publicidad</v>
      </c>
      <c r="C11" s="566">
        <f>-+'Otros Gastos'!D13</f>
        <v>0</v>
      </c>
      <c r="D11" s="566">
        <f>-+'Otros Gastos'!E13</f>
        <v>0</v>
      </c>
      <c r="E11" s="566">
        <f>-+'Otros Gastos'!F13</f>
        <v>0</v>
      </c>
      <c r="F11" s="566">
        <f>-+'Otros Gastos'!G13</f>
        <v>0</v>
      </c>
      <c r="G11" s="566">
        <f>-+'Otros Gastos'!H13</f>
        <v>0</v>
      </c>
      <c r="H11" s="566">
        <f>-+'Otros Gastos'!I13</f>
        <v>0</v>
      </c>
      <c r="I11" s="566">
        <f>-+'Otros Gastos'!J13</f>
        <v>0</v>
      </c>
      <c r="J11" s="566">
        <f>-+'Otros Gastos'!K13</f>
        <v>0</v>
      </c>
      <c r="K11" s="566">
        <f>-+'Otros Gastos'!L13</f>
        <v>0</v>
      </c>
      <c r="L11" s="566">
        <f>-+'Otros Gastos'!M13</f>
        <v>0</v>
      </c>
      <c r="M11" s="566">
        <f>-+'Otros Gastos'!N13</f>
        <v>0</v>
      </c>
      <c r="N11" s="566">
        <f>-+'Otros Gastos'!O13</f>
        <v>0</v>
      </c>
      <c r="O11" s="566">
        <f>-+'Otros Gastos'!P13</f>
        <v>0</v>
      </c>
      <c r="P11" s="566">
        <f>-+'Otros Gastos'!Q13</f>
        <v>0</v>
      </c>
      <c r="Q11" s="566">
        <f>-+'Otros Gastos'!R13</f>
        <v>0</v>
      </c>
      <c r="R11" s="566">
        <f>-+'Otros Gastos'!S13</f>
        <v>0</v>
      </c>
      <c r="S11" s="566">
        <f>-+'Otros Gastos'!T13</f>
        <v>0</v>
      </c>
      <c r="T11" s="566">
        <f>-+'Otros Gastos'!U13</f>
        <v>0</v>
      </c>
      <c r="U11" s="566">
        <f>-+'Otros Gastos'!V13</f>
        <v>0</v>
      </c>
      <c r="V11" s="566">
        <f>-+'Otros Gastos'!W13</f>
        <v>0</v>
      </c>
      <c r="W11" s="566">
        <f>-+'Otros Gastos'!X13</f>
        <v>0</v>
      </c>
      <c r="X11" s="566">
        <f>-+'Otros Gastos'!Y13</f>
        <v>0</v>
      </c>
      <c r="Y11" s="566">
        <f>-+'Otros Gastos'!Z13</f>
        <v>0</v>
      </c>
      <c r="Z11" s="566">
        <f>-+'Otros Gastos'!AA13</f>
        <v>0</v>
      </c>
      <c r="AA11" s="566">
        <f>-+'Otros Gastos'!AB13</f>
        <v>0</v>
      </c>
      <c r="AB11" s="566">
        <f>-+'Otros Gastos'!AC13</f>
        <v>0</v>
      </c>
      <c r="AC11" s="566">
        <f>-+'Otros Gastos'!AD13</f>
        <v>0</v>
      </c>
      <c r="AD11" s="566">
        <f>-+'Otros Gastos'!AE13</f>
        <v>0</v>
      </c>
      <c r="AE11" s="566">
        <f>-+'Otros Gastos'!AF13</f>
        <v>0</v>
      </c>
      <c r="AF11" s="566">
        <f>-+'Otros Gastos'!AG13</f>
        <v>0</v>
      </c>
      <c r="AG11" s="566">
        <f>-+'Otros Gastos'!AH13</f>
        <v>0</v>
      </c>
      <c r="AH11" s="566">
        <f>-+'Otros Gastos'!AI13</f>
        <v>0</v>
      </c>
      <c r="AI11" s="566">
        <f>-+'Otros Gastos'!AJ13</f>
        <v>0</v>
      </c>
      <c r="AJ11" s="566">
        <f>-+'Otros Gastos'!AK13</f>
        <v>0</v>
      </c>
      <c r="AK11" s="566">
        <f>-+'Otros Gastos'!AL13</f>
        <v>0</v>
      </c>
      <c r="AL11" s="566">
        <f>-+'Otros Gastos'!AM13</f>
        <v>0</v>
      </c>
    </row>
    <row r="12" spans="2:38" s="14" customFormat="1" ht="15.75">
      <c r="B12" s="99">
        <f>+'Otros Gastos'!B14</f>
        <v>0</v>
      </c>
      <c r="C12" s="566">
        <f>-+'Otros Gastos'!D14</f>
        <v>0</v>
      </c>
      <c r="D12" s="566">
        <f>-+'Otros Gastos'!E14</f>
        <v>0</v>
      </c>
      <c r="E12" s="566">
        <f>-+'Otros Gastos'!F14</f>
        <v>0</v>
      </c>
      <c r="F12" s="566">
        <f>-+'Otros Gastos'!G14</f>
        <v>0</v>
      </c>
      <c r="G12" s="566">
        <f>-+'Otros Gastos'!H14</f>
        <v>0</v>
      </c>
      <c r="H12" s="566">
        <f>-+'Otros Gastos'!I14</f>
        <v>0</v>
      </c>
      <c r="I12" s="566">
        <f>-+'Otros Gastos'!J14</f>
        <v>0</v>
      </c>
      <c r="J12" s="566">
        <f>-+'Otros Gastos'!K14</f>
        <v>0</v>
      </c>
      <c r="K12" s="566">
        <f>-+'Otros Gastos'!L14</f>
        <v>0</v>
      </c>
      <c r="L12" s="566">
        <f>-+'Otros Gastos'!M14</f>
        <v>0</v>
      </c>
      <c r="M12" s="566">
        <f>-+'Otros Gastos'!N14</f>
        <v>0</v>
      </c>
      <c r="N12" s="566">
        <f>-+'Otros Gastos'!O14</f>
        <v>0</v>
      </c>
      <c r="O12" s="566">
        <f>-+'Otros Gastos'!P14</f>
        <v>0</v>
      </c>
      <c r="P12" s="566">
        <f>-+'Otros Gastos'!Q14</f>
        <v>0</v>
      </c>
      <c r="Q12" s="566">
        <f>-+'Otros Gastos'!R14</f>
        <v>0</v>
      </c>
      <c r="R12" s="566">
        <f>-+'Otros Gastos'!S14</f>
        <v>0</v>
      </c>
      <c r="S12" s="566">
        <f>-+'Otros Gastos'!T14</f>
        <v>0</v>
      </c>
      <c r="T12" s="566">
        <f>-+'Otros Gastos'!U14</f>
        <v>0</v>
      </c>
      <c r="U12" s="566">
        <f>-+'Otros Gastos'!V14</f>
        <v>0</v>
      </c>
      <c r="V12" s="566">
        <f>-+'Otros Gastos'!W14</f>
        <v>0</v>
      </c>
      <c r="W12" s="566">
        <f>-+'Otros Gastos'!X14</f>
        <v>0</v>
      </c>
      <c r="X12" s="566">
        <f>-+'Otros Gastos'!Y14</f>
        <v>0</v>
      </c>
      <c r="Y12" s="566">
        <f>-+'Otros Gastos'!Z14</f>
        <v>0</v>
      </c>
      <c r="Z12" s="566">
        <f>-+'Otros Gastos'!AA14</f>
        <v>0</v>
      </c>
      <c r="AA12" s="566">
        <f>-+'Otros Gastos'!AB14</f>
        <v>0</v>
      </c>
      <c r="AB12" s="566">
        <f>-+'Otros Gastos'!AC14</f>
        <v>0</v>
      </c>
      <c r="AC12" s="566">
        <f>-+'Otros Gastos'!AD14</f>
        <v>0</v>
      </c>
      <c r="AD12" s="566">
        <f>-+'Otros Gastos'!AE14</f>
        <v>0</v>
      </c>
      <c r="AE12" s="566">
        <f>-+'Otros Gastos'!AF14</f>
        <v>0</v>
      </c>
      <c r="AF12" s="566">
        <f>-+'Otros Gastos'!AG14</f>
        <v>0</v>
      </c>
      <c r="AG12" s="566">
        <f>-+'Otros Gastos'!AH14</f>
        <v>0</v>
      </c>
      <c r="AH12" s="566">
        <f>-+'Otros Gastos'!AI14</f>
        <v>0</v>
      </c>
      <c r="AI12" s="566">
        <f>-+'Otros Gastos'!AJ14</f>
        <v>0</v>
      </c>
      <c r="AJ12" s="566">
        <f>-+'Otros Gastos'!AK14</f>
        <v>0</v>
      </c>
      <c r="AK12" s="566">
        <f>-+'Otros Gastos'!AL14</f>
        <v>0</v>
      </c>
      <c r="AL12" s="566">
        <f>-+'Otros Gastos'!AM14</f>
        <v>0</v>
      </c>
    </row>
    <row r="13" spans="2:38" s="14" customFormat="1" ht="15.75">
      <c r="B13" s="99">
        <f>+'Otros Gastos'!B15</f>
        <v>0</v>
      </c>
      <c r="C13" s="566">
        <f>-+'Otros Gastos'!D15</f>
        <v>0</v>
      </c>
      <c r="D13" s="566">
        <f>-+'Otros Gastos'!E15</f>
        <v>0</v>
      </c>
      <c r="E13" s="566">
        <f>-+'Otros Gastos'!F15</f>
        <v>0</v>
      </c>
      <c r="F13" s="566">
        <f>-+'Otros Gastos'!G15</f>
        <v>0</v>
      </c>
      <c r="G13" s="566">
        <f>-+'Otros Gastos'!H15</f>
        <v>0</v>
      </c>
      <c r="H13" s="566">
        <f>-+'Otros Gastos'!I15</f>
        <v>0</v>
      </c>
      <c r="I13" s="566">
        <f>-+'Otros Gastos'!J15</f>
        <v>0</v>
      </c>
      <c r="J13" s="566">
        <f>-+'Otros Gastos'!K15</f>
        <v>0</v>
      </c>
      <c r="K13" s="566">
        <f>-+'Otros Gastos'!L15</f>
        <v>0</v>
      </c>
      <c r="L13" s="566">
        <f>-+'Otros Gastos'!M15</f>
        <v>0</v>
      </c>
      <c r="M13" s="566">
        <f>-+'Otros Gastos'!N15</f>
        <v>0</v>
      </c>
      <c r="N13" s="566">
        <f>-+'Otros Gastos'!O15</f>
        <v>0</v>
      </c>
      <c r="O13" s="566">
        <f>-+'Otros Gastos'!P15</f>
        <v>0</v>
      </c>
      <c r="P13" s="566">
        <f>-+'Otros Gastos'!Q15</f>
        <v>0</v>
      </c>
      <c r="Q13" s="566">
        <f>-+'Otros Gastos'!R15</f>
        <v>0</v>
      </c>
      <c r="R13" s="566">
        <f>-+'Otros Gastos'!S15</f>
        <v>0</v>
      </c>
      <c r="S13" s="566">
        <f>-+'Otros Gastos'!T15</f>
        <v>0</v>
      </c>
      <c r="T13" s="566">
        <f>-+'Otros Gastos'!U15</f>
        <v>0</v>
      </c>
      <c r="U13" s="566">
        <f>-+'Otros Gastos'!V15</f>
        <v>0</v>
      </c>
      <c r="V13" s="566">
        <f>-+'Otros Gastos'!W15</f>
        <v>0</v>
      </c>
      <c r="W13" s="566">
        <f>-+'Otros Gastos'!X15</f>
        <v>0</v>
      </c>
      <c r="X13" s="566">
        <f>-+'Otros Gastos'!Y15</f>
        <v>0</v>
      </c>
      <c r="Y13" s="566">
        <f>-+'Otros Gastos'!Z15</f>
        <v>0</v>
      </c>
      <c r="Z13" s="566">
        <f>-+'Otros Gastos'!AA15</f>
        <v>0</v>
      </c>
      <c r="AA13" s="566">
        <f>-+'Otros Gastos'!AB15</f>
        <v>0</v>
      </c>
      <c r="AB13" s="566">
        <f>-+'Otros Gastos'!AC15</f>
        <v>0</v>
      </c>
      <c r="AC13" s="566">
        <f>-+'Otros Gastos'!AD15</f>
        <v>0</v>
      </c>
      <c r="AD13" s="566">
        <f>-+'Otros Gastos'!AE15</f>
        <v>0</v>
      </c>
      <c r="AE13" s="566">
        <f>-+'Otros Gastos'!AF15</f>
        <v>0</v>
      </c>
      <c r="AF13" s="566">
        <f>-+'Otros Gastos'!AG15</f>
        <v>0</v>
      </c>
      <c r="AG13" s="566">
        <f>-+'Otros Gastos'!AH15</f>
        <v>0</v>
      </c>
      <c r="AH13" s="566">
        <f>-+'Otros Gastos'!AI15</f>
        <v>0</v>
      </c>
      <c r="AI13" s="566">
        <f>-+'Otros Gastos'!AJ15</f>
        <v>0</v>
      </c>
      <c r="AJ13" s="566">
        <f>-+'Otros Gastos'!AK15</f>
        <v>0</v>
      </c>
      <c r="AK13" s="566">
        <f>-+'Otros Gastos'!AL15</f>
        <v>0</v>
      </c>
      <c r="AL13" s="566">
        <f>-+'Otros Gastos'!AM15</f>
        <v>0</v>
      </c>
    </row>
    <row r="14" spans="2:38" s="14" customFormat="1" ht="15.75">
      <c r="B14" s="99">
        <f>+'Otros Gastos'!B16</f>
        <v>0</v>
      </c>
      <c r="C14" s="566">
        <f>-+'Otros Gastos'!D16</f>
        <v>0</v>
      </c>
      <c r="D14" s="566">
        <f>-+'Otros Gastos'!E16</f>
        <v>0</v>
      </c>
      <c r="E14" s="566">
        <f>-+'Otros Gastos'!F16</f>
        <v>0</v>
      </c>
      <c r="F14" s="566">
        <f>-+'Otros Gastos'!G16</f>
        <v>0</v>
      </c>
      <c r="G14" s="566">
        <f>-+'Otros Gastos'!H16</f>
        <v>0</v>
      </c>
      <c r="H14" s="566">
        <f>-+'Otros Gastos'!I16</f>
        <v>0</v>
      </c>
      <c r="I14" s="566">
        <f>-+'Otros Gastos'!J16</f>
        <v>0</v>
      </c>
      <c r="J14" s="566">
        <f>-+'Otros Gastos'!K16</f>
        <v>0</v>
      </c>
      <c r="K14" s="566">
        <f>-+'Otros Gastos'!L16</f>
        <v>0</v>
      </c>
      <c r="L14" s="566">
        <f>-+'Otros Gastos'!M16</f>
        <v>0</v>
      </c>
      <c r="M14" s="566">
        <f>-+'Otros Gastos'!N16</f>
        <v>0</v>
      </c>
      <c r="N14" s="566">
        <f>-+'Otros Gastos'!O16</f>
        <v>0</v>
      </c>
      <c r="O14" s="566">
        <f>-+'Otros Gastos'!P16</f>
        <v>0</v>
      </c>
      <c r="P14" s="566">
        <f>-+'Otros Gastos'!Q16</f>
        <v>0</v>
      </c>
      <c r="Q14" s="566">
        <f>-+'Otros Gastos'!R16</f>
        <v>0</v>
      </c>
      <c r="R14" s="566">
        <f>-+'Otros Gastos'!S16</f>
        <v>0</v>
      </c>
      <c r="S14" s="566">
        <f>-+'Otros Gastos'!T16</f>
        <v>0</v>
      </c>
      <c r="T14" s="566">
        <f>-+'Otros Gastos'!U16</f>
        <v>0</v>
      </c>
      <c r="U14" s="566">
        <f>-+'Otros Gastos'!V16</f>
        <v>0</v>
      </c>
      <c r="V14" s="566">
        <f>-+'Otros Gastos'!W16</f>
        <v>0</v>
      </c>
      <c r="W14" s="566">
        <f>-+'Otros Gastos'!X16</f>
        <v>0</v>
      </c>
      <c r="X14" s="566">
        <f>-+'Otros Gastos'!Y16</f>
        <v>0</v>
      </c>
      <c r="Y14" s="566">
        <f>-+'Otros Gastos'!Z16</f>
        <v>0</v>
      </c>
      <c r="Z14" s="566">
        <f>-+'Otros Gastos'!AA16</f>
        <v>0</v>
      </c>
      <c r="AA14" s="566">
        <f>-+'Otros Gastos'!AB16</f>
        <v>0</v>
      </c>
      <c r="AB14" s="566">
        <f>-+'Otros Gastos'!AC16</f>
        <v>0</v>
      </c>
      <c r="AC14" s="566">
        <f>-+'Otros Gastos'!AD16</f>
        <v>0</v>
      </c>
      <c r="AD14" s="566">
        <f>-+'Otros Gastos'!AE16</f>
        <v>0</v>
      </c>
      <c r="AE14" s="566">
        <f>-+'Otros Gastos'!AF16</f>
        <v>0</v>
      </c>
      <c r="AF14" s="566">
        <f>-+'Otros Gastos'!AG16</f>
        <v>0</v>
      </c>
      <c r="AG14" s="566">
        <f>-+'Otros Gastos'!AH16</f>
        <v>0</v>
      </c>
      <c r="AH14" s="566">
        <f>-+'Otros Gastos'!AI16</f>
        <v>0</v>
      </c>
      <c r="AI14" s="566">
        <f>-+'Otros Gastos'!AJ16</f>
        <v>0</v>
      </c>
      <c r="AJ14" s="566">
        <f>-+'Otros Gastos'!AK16</f>
        <v>0</v>
      </c>
      <c r="AK14" s="566">
        <f>-+'Otros Gastos'!AL16</f>
        <v>0</v>
      </c>
      <c r="AL14" s="566">
        <f>-+'Otros Gastos'!AM16</f>
        <v>0</v>
      </c>
    </row>
    <row r="15" spans="2:38" s="14" customFormat="1" ht="15.75">
      <c r="B15" s="99">
        <f>+'Otros Gastos'!B17</f>
        <v>0</v>
      </c>
      <c r="C15" s="566">
        <f>-+'Otros Gastos'!D17</f>
        <v>0</v>
      </c>
      <c r="D15" s="566">
        <f>-+'Otros Gastos'!E17</f>
        <v>0</v>
      </c>
      <c r="E15" s="566">
        <f>-+'Otros Gastos'!F17</f>
        <v>0</v>
      </c>
      <c r="F15" s="566">
        <f>-+'Otros Gastos'!G17</f>
        <v>0</v>
      </c>
      <c r="G15" s="566">
        <f>-+'Otros Gastos'!H17</f>
        <v>0</v>
      </c>
      <c r="H15" s="566">
        <f>-+'Otros Gastos'!I17</f>
        <v>0</v>
      </c>
      <c r="I15" s="566">
        <f>-+'Otros Gastos'!J17</f>
        <v>0</v>
      </c>
      <c r="J15" s="566">
        <f>-+'Otros Gastos'!K17</f>
        <v>0</v>
      </c>
      <c r="K15" s="566">
        <f>-+'Otros Gastos'!L17</f>
        <v>0</v>
      </c>
      <c r="L15" s="566">
        <f>-+'Otros Gastos'!M17</f>
        <v>0</v>
      </c>
      <c r="M15" s="566">
        <f>-+'Otros Gastos'!N17</f>
        <v>0</v>
      </c>
      <c r="N15" s="566">
        <f>-+'Otros Gastos'!O17</f>
        <v>0</v>
      </c>
      <c r="O15" s="566">
        <f>-+'Otros Gastos'!P17</f>
        <v>0</v>
      </c>
      <c r="P15" s="566">
        <f>-+'Otros Gastos'!Q17</f>
        <v>0</v>
      </c>
      <c r="Q15" s="566">
        <f>-+'Otros Gastos'!R17</f>
        <v>0</v>
      </c>
      <c r="R15" s="566">
        <f>-+'Otros Gastos'!S17</f>
        <v>0</v>
      </c>
      <c r="S15" s="566">
        <f>-+'Otros Gastos'!T17</f>
        <v>0</v>
      </c>
      <c r="T15" s="566">
        <f>-+'Otros Gastos'!U17</f>
        <v>0</v>
      </c>
      <c r="U15" s="566">
        <f>-+'Otros Gastos'!V17</f>
        <v>0</v>
      </c>
      <c r="V15" s="566">
        <f>-+'Otros Gastos'!W17</f>
        <v>0</v>
      </c>
      <c r="W15" s="566">
        <f>-+'Otros Gastos'!X17</f>
        <v>0</v>
      </c>
      <c r="X15" s="566">
        <f>-+'Otros Gastos'!Y17</f>
        <v>0</v>
      </c>
      <c r="Y15" s="566">
        <f>-+'Otros Gastos'!Z17</f>
        <v>0</v>
      </c>
      <c r="Z15" s="566">
        <f>-+'Otros Gastos'!AA17</f>
        <v>0</v>
      </c>
      <c r="AA15" s="566">
        <f>-+'Otros Gastos'!AB17</f>
        <v>0</v>
      </c>
      <c r="AB15" s="566">
        <f>-+'Otros Gastos'!AC17</f>
        <v>0</v>
      </c>
      <c r="AC15" s="566">
        <f>-+'Otros Gastos'!AD17</f>
        <v>0</v>
      </c>
      <c r="AD15" s="566">
        <f>-+'Otros Gastos'!AE17</f>
        <v>0</v>
      </c>
      <c r="AE15" s="566">
        <f>-+'Otros Gastos'!AF17</f>
        <v>0</v>
      </c>
      <c r="AF15" s="566">
        <f>-+'Otros Gastos'!AG17</f>
        <v>0</v>
      </c>
      <c r="AG15" s="566">
        <f>-+'Otros Gastos'!AH17</f>
        <v>0</v>
      </c>
      <c r="AH15" s="566">
        <f>-+'Otros Gastos'!AI17</f>
        <v>0</v>
      </c>
      <c r="AI15" s="566">
        <f>-+'Otros Gastos'!AJ17</f>
        <v>0</v>
      </c>
      <c r="AJ15" s="566">
        <f>-+'Otros Gastos'!AK17</f>
        <v>0</v>
      </c>
      <c r="AK15" s="566">
        <f>-+'Otros Gastos'!AL17</f>
        <v>0</v>
      </c>
      <c r="AL15" s="566">
        <f>-+'Otros Gastos'!AM17</f>
        <v>0</v>
      </c>
    </row>
    <row r="16" spans="2:38" s="14" customFormat="1" ht="15.75">
      <c r="B16" s="99">
        <f>+'Otros Gastos'!B18</f>
        <v>0</v>
      </c>
      <c r="C16" s="566">
        <f>-+'Otros Gastos'!D18</f>
        <v>0</v>
      </c>
      <c r="D16" s="566">
        <f>-+'Otros Gastos'!E18</f>
        <v>0</v>
      </c>
      <c r="E16" s="566">
        <f>-+'Otros Gastos'!F18</f>
        <v>0</v>
      </c>
      <c r="F16" s="566">
        <f>-+'Otros Gastos'!G18</f>
        <v>0</v>
      </c>
      <c r="G16" s="566">
        <f>-+'Otros Gastos'!H18</f>
        <v>0</v>
      </c>
      <c r="H16" s="566">
        <f>-+'Otros Gastos'!I18</f>
        <v>0</v>
      </c>
      <c r="I16" s="566">
        <f>-+'Otros Gastos'!J18</f>
        <v>0</v>
      </c>
      <c r="J16" s="566">
        <f>-+'Otros Gastos'!K18</f>
        <v>0</v>
      </c>
      <c r="K16" s="566">
        <f>-+'Otros Gastos'!L18</f>
        <v>0</v>
      </c>
      <c r="L16" s="566">
        <f>-+'Otros Gastos'!M18</f>
        <v>0</v>
      </c>
      <c r="M16" s="566">
        <f>-+'Otros Gastos'!N18</f>
        <v>0</v>
      </c>
      <c r="N16" s="566">
        <f>-+'Otros Gastos'!O18</f>
        <v>0</v>
      </c>
      <c r="O16" s="566">
        <f>-+'Otros Gastos'!P18</f>
        <v>0</v>
      </c>
      <c r="P16" s="566">
        <f>-+'Otros Gastos'!Q18</f>
        <v>0</v>
      </c>
      <c r="Q16" s="566">
        <f>-+'Otros Gastos'!R18</f>
        <v>0</v>
      </c>
      <c r="R16" s="566">
        <f>-+'Otros Gastos'!S18</f>
        <v>0</v>
      </c>
      <c r="S16" s="566">
        <f>-+'Otros Gastos'!T18</f>
        <v>0</v>
      </c>
      <c r="T16" s="566">
        <f>-+'Otros Gastos'!U18</f>
        <v>0</v>
      </c>
      <c r="U16" s="566">
        <f>-+'Otros Gastos'!V18</f>
        <v>0</v>
      </c>
      <c r="V16" s="566">
        <f>-+'Otros Gastos'!W18</f>
        <v>0</v>
      </c>
      <c r="W16" s="566">
        <f>-+'Otros Gastos'!X18</f>
        <v>0</v>
      </c>
      <c r="X16" s="566">
        <f>-+'Otros Gastos'!Y18</f>
        <v>0</v>
      </c>
      <c r="Y16" s="566">
        <f>-+'Otros Gastos'!Z18</f>
        <v>0</v>
      </c>
      <c r="Z16" s="566">
        <f>-+'Otros Gastos'!AA18</f>
        <v>0</v>
      </c>
      <c r="AA16" s="566">
        <f>-+'Otros Gastos'!AB18</f>
        <v>0</v>
      </c>
      <c r="AB16" s="566">
        <f>-+'Otros Gastos'!AC18</f>
        <v>0</v>
      </c>
      <c r="AC16" s="566">
        <f>-+'Otros Gastos'!AD18</f>
        <v>0</v>
      </c>
      <c r="AD16" s="566">
        <f>-+'Otros Gastos'!AE18</f>
        <v>0</v>
      </c>
      <c r="AE16" s="566">
        <f>-+'Otros Gastos'!AF18</f>
        <v>0</v>
      </c>
      <c r="AF16" s="566">
        <f>-+'Otros Gastos'!AG18</f>
        <v>0</v>
      </c>
      <c r="AG16" s="566">
        <f>-+'Otros Gastos'!AH18</f>
        <v>0</v>
      </c>
      <c r="AH16" s="566">
        <f>-+'Otros Gastos'!AI18</f>
        <v>0</v>
      </c>
      <c r="AI16" s="566">
        <f>-+'Otros Gastos'!AJ18</f>
        <v>0</v>
      </c>
      <c r="AJ16" s="566">
        <f>-+'Otros Gastos'!AK18</f>
        <v>0</v>
      </c>
      <c r="AK16" s="566">
        <f>-+'Otros Gastos'!AL18</f>
        <v>0</v>
      </c>
      <c r="AL16" s="566">
        <f>-+'Otros Gastos'!AM18</f>
        <v>0</v>
      </c>
    </row>
    <row r="17" spans="2:38" s="14" customFormat="1" ht="15.75">
      <c r="B17" s="99">
        <f>+'Otros Gastos'!B19</f>
        <v>0</v>
      </c>
      <c r="C17" s="566">
        <f>-+'Otros Gastos'!D19</f>
        <v>0</v>
      </c>
      <c r="D17" s="566">
        <f>-+'Otros Gastos'!E19</f>
        <v>0</v>
      </c>
      <c r="E17" s="566">
        <f>-+'Otros Gastos'!F19</f>
        <v>0</v>
      </c>
      <c r="F17" s="566">
        <f>-+'Otros Gastos'!G19</f>
        <v>0</v>
      </c>
      <c r="G17" s="566">
        <f>-+'Otros Gastos'!H19</f>
        <v>0</v>
      </c>
      <c r="H17" s="566">
        <f>-+'Otros Gastos'!I19</f>
        <v>0</v>
      </c>
      <c r="I17" s="566">
        <f>-+'Otros Gastos'!J19</f>
        <v>0</v>
      </c>
      <c r="J17" s="566">
        <f>-+'Otros Gastos'!K19</f>
        <v>0</v>
      </c>
      <c r="K17" s="566">
        <f>-+'Otros Gastos'!L19</f>
        <v>0</v>
      </c>
      <c r="L17" s="566">
        <f>-+'Otros Gastos'!M19</f>
        <v>0</v>
      </c>
      <c r="M17" s="566">
        <f>-+'Otros Gastos'!N19</f>
        <v>0</v>
      </c>
      <c r="N17" s="566">
        <f>-+'Otros Gastos'!O19</f>
        <v>0</v>
      </c>
      <c r="O17" s="566">
        <f>-+'Otros Gastos'!P19</f>
        <v>0</v>
      </c>
      <c r="P17" s="566">
        <f>-+'Otros Gastos'!Q19</f>
        <v>0</v>
      </c>
      <c r="Q17" s="566">
        <f>-+'Otros Gastos'!R19</f>
        <v>0</v>
      </c>
      <c r="R17" s="566">
        <f>-+'Otros Gastos'!S19</f>
        <v>0</v>
      </c>
      <c r="S17" s="566">
        <f>-+'Otros Gastos'!T19</f>
        <v>0</v>
      </c>
      <c r="T17" s="566">
        <f>-+'Otros Gastos'!U19</f>
        <v>0</v>
      </c>
      <c r="U17" s="566">
        <f>-+'Otros Gastos'!V19</f>
        <v>0</v>
      </c>
      <c r="V17" s="566">
        <f>-+'Otros Gastos'!W19</f>
        <v>0</v>
      </c>
      <c r="W17" s="566">
        <f>-+'Otros Gastos'!X19</f>
        <v>0</v>
      </c>
      <c r="X17" s="566">
        <f>-+'Otros Gastos'!Y19</f>
        <v>0</v>
      </c>
      <c r="Y17" s="566">
        <f>-+'Otros Gastos'!Z19</f>
        <v>0</v>
      </c>
      <c r="Z17" s="566">
        <f>-+'Otros Gastos'!AA19</f>
        <v>0</v>
      </c>
      <c r="AA17" s="566">
        <f>-+'Otros Gastos'!AB19</f>
        <v>0</v>
      </c>
      <c r="AB17" s="566">
        <f>-+'Otros Gastos'!AC19</f>
        <v>0</v>
      </c>
      <c r="AC17" s="566">
        <f>-+'Otros Gastos'!AD19</f>
        <v>0</v>
      </c>
      <c r="AD17" s="566">
        <f>-+'Otros Gastos'!AE19</f>
        <v>0</v>
      </c>
      <c r="AE17" s="566">
        <f>-+'Otros Gastos'!AF19</f>
        <v>0</v>
      </c>
      <c r="AF17" s="566">
        <f>-+'Otros Gastos'!AG19</f>
        <v>0</v>
      </c>
      <c r="AG17" s="566">
        <f>-+'Otros Gastos'!AH19</f>
        <v>0</v>
      </c>
      <c r="AH17" s="566">
        <f>-+'Otros Gastos'!AI19</f>
        <v>0</v>
      </c>
      <c r="AI17" s="566">
        <f>-+'Otros Gastos'!AJ19</f>
        <v>0</v>
      </c>
      <c r="AJ17" s="566">
        <f>-+'Otros Gastos'!AK19</f>
        <v>0</v>
      </c>
      <c r="AK17" s="566">
        <f>-+'Otros Gastos'!AL19</f>
        <v>0</v>
      </c>
      <c r="AL17" s="566">
        <f>-+'Otros Gastos'!AM19</f>
        <v>0</v>
      </c>
    </row>
    <row r="18" spans="2:38" s="14" customFormat="1" ht="15.75">
      <c r="B18" s="99">
        <f>+'Otros Gastos'!B20</f>
        <v>0</v>
      </c>
      <c r="C18" s="566">
        <f>-+'Otros Gastos'!D20</f>
        <v>0</v>
      </c>
      <c r="D18" s="566">
        <f>-+'Otros Gastos'!E20</f>
        <v>0</v>
      </c>
      <c r="E18" s="566">
        <f>-+'Otros Gastos'!F20</f>
        <v>0</v>
      </c>
      <c r="F18" s="566">
        <f>-+'Otros Gastos'!G20</f>
        <v>0</v>
      </c>
      <c r="G18" s="566">
        <f>-+'Otros Gastos'!H20</f>
        <v>0</v>
      </c>
      <c r="H18" s="566">
        <f>-+'Otros Gastos'!I20</f>
        <v>0</v>
      </c>
      <c r="I18" s="566">
        <f>-+'Otros Gastos'!J20</f>
        <v>0</v>
      </c>
      <c r="J18" s="566">
        <f>-+'Otros Gastos'!K20</f>
        <v>0</v>
      </c>
      <c r="K18" s="566">
        <f>-+'Otros Gastos'!L20</f>
        <v>0</v>
      </c>
      <c r="L18" s="566">
        <f>-+'Otros Gastos'!M20</f>
        <v>0</v>
      </c>
      <c r="M18" s="566">
        <f>-+'Otros Gastos'!N20</f>
        <v>0</v>
      </c>
      <c r="N18" s="566">
        <f>-+'Otros Gastos'!O20</f>
        <v>0</v>
      </c>
      <c r="O18" s="566">
        <f>-+'Otros Gastos'!P20</f>
        <v>0</v>
      </c>
      <c r="P18" s="566">
        <f>-+'Otros Gastos'!Q20</f>
        <v>0</v>
      </c>
      <c r="Q18" s="566">
        <f>-+'Otros Gastos'!R20</f>
        <v>0</v>
      </c>
      <c r="R18" s="566">
        <f>-+'Otros Gastos'!S20</f>
        <v>0</v>
      </c>
      <c r="S18" s="566">
        <f>-+'Otros Gastos'!T20</f>
        <v>0</v>
      </c>
      <c r="T18" s="566">
        <f>-+'Otros Gastos'!U20</f>
        <v>0</v>
      </c>
      <c r="U18" s="566">
        <f>-+'Otros Gastos'!V20</f>
        <v>0</v>
      </c>
      <c r="V18" s="566">
        <f>-+'Otros Gastos'!W20</f>
        <v>0</v>
      </c>
      <c r="W18" s="566">
        <f>-+'Otros Gastos'!X20</f>
        <v>0</v>
      </c>
      <c r="X18" s="566">
        <f>-+'Otros Gastos'!Y20</f>
        <v>0</v>
      </c>
      <c r="Y18" s="566">
        <f>-+'Otros Gastos'!Z20</f>
        <v>0</v>
      </c>
      <c r="Z18" s="566">
        <f>-+'Otros Gastos'!AA20</f>
        <v>0</v>
      </c>
      <c r="AA18" s="566">
        <f>-+'Otros Gastos'!AB20</f>
        <v>0</v>
      </c>
      <c r="AB18" s="566">
        <f>-+'Otros Gastos'!AC20</f>
        <v>0</v>
      </c>
      <c r="AC18" s="566">
        <f>-+'Otros Gastos'!AD20</f>
        <v>0</v>
      </c>
      <c r="AD18" s="566">
        <f>-+'Otros Gastos'!AE20</f>
        <v>0</v>
      </c>
      <c r="AE18" s="566">
        <f>-+'Otros Gastos'!AF20</f>
        <v>0</v>
      </c>
      <c r="AF18" s="566">
        <f>-+'Otros Gastos'!AG20</f>
        <v>0</v>
      </c>
      <c r="AG18" s="566">
        <f>-+'Otros Gastos'!AH20</f>
        <v>0</v>
      </c>
      <c r="AH18" s="566">
        <f>-+'Otros Gastos'!AI20</f>
        <v>0</v>
      </c>
      <c r="AI18" s="566">
        <f>-+'Otros Gastos'!AJ20</f>
        <v>0</v>
      </c>
      <c r="AJ18" s="566">
        <f>-+'Otros Gastos'!AK20</f>
        <v>0</v>
      </c>
      <c r="AK18" s="566">
        <f>-+'Otros Gastos'!AL20</f>
        <v>0</v>
      </c>
      <c r="AL18" s="566">
        <f>-+'Otros Gastos'!AM20</f>
        <v>0</v>
      </c>
    </row>
    <row r="19" spans="2:38" s="14" customFormat="1" ht="15.75">
      <c r="B19" s="99">
        <f>+'Otros Gastos'!B21</f>
        <v>0</v>
      </c>
      <c r="C19" s="566">
        <f>-+'Otros Gastos'!D21</f>
        <v>0</v>
      </c>
      <c r="D19" s="566">
        <f>-+'Otros Gastos'!E21</f>
        <v>0</v>
      </c>
      <c r="E19" s="566">
        <f>-+'Otros Gastos'!F21</f>
        <v>0</v>
      </c>
      <c r="F19" s="566">
        <f>-+'Otros Gastos'!G21</f>
        <v>0</v>
      </c>
      <c r="G19" s="566">
        <f>-+'Otros Gastos'!H21</f>
        <v>0</v>
      </c>
      <c r="H19" s="566">
        <f>-+'Otros Gastos'!I21</f>
        <v>0</v>
      </c>
      <c r="I19" s="566">
        <f>-+'Otros Gastos'!J21</f>
        <v>0</v>
      </c>
      <c r="J19" s="566">
        <f>-+'Otros Gastos'!K21</f>
        <v>0</v>
      </c>
      <c r="K19" s="566">
        <f>-+'Otros Gastos'!L21</f>
        <v>0</v>
      </c>
      <c r="L19" s="566">
        <f>-+'Otros Gastos'!M21</f>
        <v>0</v>
      </c>
      <c r="M19" s="566">
        <f>-+'Otros Gastos'!N21</f>
        <v>0</v>
      </c>
      <c r="N19" s="566">
        <f>-+'Otros Gastos'!O21</f>
        <v>0</v>
      </c>
      <c r="O19" s="566">
        <f>-+'Otros Gastos'!P21</f>
        <v>0</v>
      </c>
      <c r="P19" s="566">
        <f>-+'Otros Gastos'!Q21</f>
        <v>0</v>
      </c>
      <c r="Q19" s="566">
        <f>-+'Otros Gastos'!R21</f>
        <v>0</v>
      </c>
      <c r="R19" s="566">
        <f>-+'Otros Gastos'!S21</f>
        <v>0</v>
      </c>
      <c r="S19" s="566">
        <f>-+'Otros Gastos'!T21</f>
        <v>0</v>
      </c>
      <c r="T19" s="566">
        <f>-+'Otros Gastos'!U21</f>
        <v>0</v>
      </c>
      <c r="U19" s="566">
        <f>-+'Otros Gastos'!V21</f>
        <v>0</v>
      </c>
      <c r="V19" s="566">
        <f>-+'Otros Gastos'!W21</f>
        <v>0</v>
      </c>
      <c r="W19" s="566">
        <f>-+'Otros Gastos'!X21</f>
        <v>0</v>
      </c>
      <c r="X19" s="566">
        <f>-+'Otros Gastos'!Y21</f>
        <v>0</v>
      </c>
      <c r="Y19" s="566">
        <f>-+'Otros Gastos'!Z21</f>
        <v>0</v>
      </c>
      <c r="Z19" s="566">
        <f>-+'Otros Gastos'!AA21</f>
        <v>0</v>
      </c>
      <c r="AA19" s="566">
        <f>-+'Otros Gastos'!AB21</f>
        <v>0</v>
      </c>
      <c r="AB19" s="566">
        <f>-+'Otros Gastos'!AC21</f>
        <v>0</v>
      </c>
      <c r="AC19" s="566">
        <f>-+'Otros Gastos'!AD21</f>
        <v>0</v>
      </c>
      <c r="AD19" s="566">
        <f>-+'Otros Gastos'!AE21</f>
        <v>0</v>
      </c>
      <c r="AE19" s="566">
        <f>-+'Otros Gastos'!AF21</f>
        <v>0</v>
      </c>
      <c r="AF19" s="566">
        <f>-+'Otros Gastos'!AG21</f>
        <v>0</v>
      </c>
      <c r="AG19" s="566">
        <f>-+'Otros Gastos'!AH21</f>
        <v>0</v>
      </c>
      <c r="AH19" s="566">
        <f>-+'Otros Gastos'!AI21</f>
        <v>0</v>
      </c>
      <c r="AI19" s="566">
        <f>-+'Otros Gastos'!AJ21</f>
        <v>0</v>
      </c>
      <c r="AJ19" s="566">
        <f>-+'Otros Gastos'!AK21</f>
        <v>0</v>
      </c>
      <c r="AK19" s="566">
        <f>-+'Otros Gastos'!AL21</f>
        <v>0</v>
      </c>
      <c r="AL19" s="566">
        <f>-+'Otros Gastos'!AM21</f>
        <v>0</v>
      </c>
    </row>
    <row r="20" spans="2:38" s="14" customFormat="1" ht="15.75">
      <c r="B20" s="99">
        <f>+'Otros Gastos'!B22</f>
        <v>0</v>
      </c>
      <c r="C20" s="566">
        <f>-+'Otros Gastos'!D22</f>
        <v>0</v>
      </c>
      <c r="D20" s="566">
        <f>-+'Otros Gastos'!E22</f>
        <v>0</v>
      </c>
      <c r="E20" s="566">
        <f>-+'Otros Gastos'!F22</f>
        <v>0</v>
      </c>
      <c r="F20" s="566">
        <f>-+'Otros Gastos'!G22</f>
        <v>0</v>
      </c>
      <c r="G20" s="566">
        <f>-+'Otros Gastos'!H22</f>
        <v>0</v>
      </c>
      <c r="H20" s="566">
        <f>-+'Otros Gastos'!I22</f>
        <v>0</v>
      </c>
      <c r="I20" s="566">
        <f>-+'Otros Gastos'!J22</f>
        <v>0</v>
      </c>
      <c r="J20" s="566">
        <f>-+'Otros Gastos'!K22</f>
        <v>0</v>
      </c>
      <c r="K20" s="566">
        <f>-+'Otros Gastos'!L22</f>
        <v>0</v>
      </c>
      <c r="L20" s="566">
        <f>-+'Otros Gastos'!M22</f>
        <v>0</v>
      </c>
      <c r="M20" s="566">
        <f>-+'Otros Gastos'!N22</f>
        <v>0</v>
      </c>
      <c r="N20" s="566">
        <f>-+'Otros Gastos'!O22</f>
        <v>0</v>
      </c>
      <c r="O20" s="566">
        <f>-+'Otros Gastos'!P22</f>
        <v>0</v>
      </c>
      <c r="P20" s="566">
        <f>-+'Otros Gastos'!Q22</f>
        <v>0</v>
      </c>
      <c r="Q20" s="566">
        <f>-+'Otros Gastos'!R22</f>
        <v>0</v>
      </c>
      <c r="R20" s="566">
        <f>-+'Otros Gastos'!S22</f>
        <v>0</v>
      </c>
      <c r="S20" s="566">
        <f>-+'Otros Gastos'!T22</f>
        <v>0</v>
      </c>
      <c r="T20" s="566">
        <f>-+'Otros Gastos'!U22</f>
        <v>0</v>
      </c>
      <c r="U20" s="566">
        <f>-+'Otros Gastos'!V22</f>
        <v>0</v>
      </c>
      <c r="V20" s="566">
        <f>-+'Otros Gastos'!W22</f>
        <v>0</v>
      </c>
      <c r="W20" s="566">
        <f>-+'Otros Gastos'!X22</f>
        <v>0</v>
      </c>
      <c r="X20" s="566">
        <f>-+'Otros Gastos'!Y22</f>
        <v>0</v>
      </c>
      <c r="Y20" s="566">
        <f>-+'Otros Gastos'!Z22</f>
        <v>0</v>
      </c>
      <c r="Z20" s="566">
        <f>-+'Otros Gastos'!AA22</f>
        <v>0</v>
      </c>
      <c r="AA20" s="566">
        <f>-+'Otros Gastos'!AB22</f>
        <v>0</v>
      </c>
      <c r="AB20" s="566">
        <f>-+'Otros Gastos'!AC22</f>
        <v>0</v>
      </c>
      <c r="AC20" s="566">
        <f>-+'Otros Gastos'!AD22</f>
        <v>0</v>
      </c>
      <c r="AD20" s="566">
        <f>-+'Otros Gastos'!AE22</f>
        <v>0</v>
      </c>
      <c r="AE20" s="566">
        <f>-+'Otros Gastos'!AF22</f>
        <v>0</v>
      </c>
      <c r="AF20" s="566">
        <f>-+'Otros Gastos'!AG22</f>
        <v>0</v>
      </c>
      <c r="AG20" s="566">
        <f>-+'Otros Gastos'!AH22</f>
        <v>0</v>
      </c>
      <c r="AH20" s="566">
        <f>-+'Otros Gastos'!AI22</f>
        <v>0</v>
      </c>
      <c r="AI20" s="566">
        <f>-+'Otros Gastos'!AJ22</f>
        <v>0</v>
      </c>
      <c r="AJ20" s="566">
        <f>-+'Otros Gastos'!AK22</f>
        <v>0</v>
      </c>
      <c r="AK20" s="566">
        <f>-+'Otros Gastos'!AL22</f>
        <v>0</v>
      </c>
      <c r="AL20" s="566">
        <f>-+'Otros Gastos'!AM22</f>
        <v>0</v>
      </c>
    </row>
    <row r="21" spans="2:38" ht="15.75">
      <c r="B21" s="99">
        <f>+'Otros Gastos'!B23</f>
        <v>0</v>
      </c>
      <c r="C21" s="566">
        <f>-+'Otros Gastos'!D23</f>
        <v>0</v>
      </c>
      <c r="D21" s="566">
        <f>-+'Otros Gastos'!E23</f>
        <v>0</v>
      </c>
      <c r="E21" s="566">
        <f>-+'Otros Gastos'!F23</f>
        <v>0</v>
      </c>
      <c r="F21" s="566">
        <f>-+'Otros Gastos'!G23</f>
        <v>0</v>
      </c>
      <c r="G21" s="566">
        <f>-+'Otros Gastos'!H23</f>
        <v>0</v>
      </c>
      <c r="H21" s="566">
        <f>-+'Otros Gastos'!I23</f>
        <v>0</v>
      </c>
      <c r="I21" s="566">
        <f>-+'Otros Gastos'!J23</f>
        <v>0</v>
      </c>
      <c r="J21" s="566">
        <f>-+'Otros Gastos'!K23</f>
        <v>0</v>
      </c>
      <c r="K21" s="566">
        <f>-+'Otros Gastos'!L23</f>
        <v>0</v>
      </c>
      <c r="L21" s="566">
        <f>-+'Otros Gastos'!M23</f>
        <v>0</v>
      </c>
      <c r="M21" s="566">
        <f>-+'Otros Gastos'!N23</f>
        <v>0</v>
      </c>
      <c r="N21" s="566">
        <f>-+'Otros Gastos'!O23</f>
        <v>0</v>
      </c>
      <c r="O21" s="566">
        <f>-+'Otros Gastos'!P23</f>
        <v>0</v>
      </c>
      <c r="P21" s="566">
        <f>-+'Otros Gastos'!Q23</f>
        <v>0</v>
      </c>
      <c r="Q21" s="566">
        <f>-+'Otros Gastos'!R23</f>
        <v>0</v>
      </c>
      <c r="R21" s="566">
        <f>-+'Otros Gastos'!S23</f>
        <v>0</v>
      </c>
      <c r="S21" s="566">
        <f>-+'Otros Gastos'!T23</f>
        <v>0</v>
      </c>
      <c r="T21" s="566">
        <f>-+'Otros Gastos'!U23</f>
        <v>0</v>
      </c>
      <c r="U21" s="566">
        <f>-+'Otros Gastos'!V23</f>
        <v>0</v>
      </c>
      <c r="V21" s="566">
        <f>-+'Otros Gastos'!W23</f>
        <v>0</v>
      </c>
      <c r="W21" s="566">
        <f>-+'Otros Gastos'!X23</f>
        <v>0</v>
      </c>
      <c r="X21" s="566">
        <f>-+'Otros Gastos'!Y23</f>
        <v>0</v>
      </c>
      <c r="Y21" s="566">
        <f>-+'Otros Gastos'!Z23</f>
        <v>0</v>
      </c>
      <c r="Z21" s="566">
        <f>-+'Otros Gastos'!AA23</f>
        <v>0</v>
      </c>
      <c r="AA21" s="566">
        <f>-+'Otros Gastos'!AB23</f>
        <v>0</v>
      </c>
      <c r="AB21" s="566">
        <f>-+'Otros Gastos'!AC23</f>
        <v>0</v>
      </c>
      <c r="AC21" s="566">
        <f>-+'Otros Gastos'!AD23</f>
        <v>0</v>
      </c>
      <c r="AD21" s="566">
        <f>-+'Otros Gastos'!AE23</f>
        <v>0</v>
      </c>
      <c r="AE21" s="566">
        <f>-+'Otros Gastos'!AF23</f>
        <v>0</v>
      </c>
      <c r="AF21" s="566">
        <f>-+'Otros Gastos'!AG23</f>
        <v>0</v>
      </c>
      <c r="AG21" s="566">
        <f>-+'Otros Gastos'!AH23</f>
        <v>0</v>
      </c>
      <c r="AH21" s="566">
        <f>-+'Otros Gastos'!AI23</f>
        <v>0</v>
      </c>
      <c r="AI21" s="566">
        <f>-+'Otros Gastos'!AJ23</f>
        <v>0</v>
      </c>
      <c r="AJ21" s="566">
        <f>-+'Otros Gastos'!AK23</f>
        <v>0</v>
      </c>
      <c r="AK21" s="566">
        <f>-+'Otros Gastos'!AL23</f>
        <v>0</v>
      </c>
      <c r="AL21" s="566">
        <f>-+'Otros Gastos'!AM23</f>
        <v>0</v>
      </c>
    </row>
    <row r="22" spans="2:38" ht="15.75" hidden="1" outlineLevel="1">
      <c r="B22" s="99">
        <f>+'Otros Gastos'!B24</f>
        <v>0</v>
      </c>
      <c r="C22" s="566">
        <f>-+'Otros Gastos'!D24</f>
        <v>0</v>
      </c>
      <c r="D22" s="566">
        <f>-+'Otros Gastos'!E24</f>
        <v>0</v>
      </c>
      <c r="E22" s="566">
        <f>-+'Otros Gastos'!F24</f>
        <v>0</v>
      </c>
      <c r="F22" s="566">
        <f>-+'Otros Gastos'!G24</f>
        <v>0</v>
      </c>
      <c r="G22" s="566">
        <f>-+'Otros Gastos'!H24</f>
        <v>0</v>
      </c>
      <c r="H22" s="566">
        <f>-+'Otros Gastos'!I24</f>
        <v>0</v>
      </c>
      <c r="I22" s="566">
        <f>-+'Otros Gastos'!J24</f>
        <v>0</v>
      </c>
      <c r="J22" s="566">
        <f>-+'Otros Gastos'!K24</f>
        <v>0</v>
      </c>
      <c r="K22" s="566">
        <f>-+'Otros Gastos'!L24</f>
        <v>0</v>
      </c>
      <c r="L22" s="566">
        <f>-+'Otros Gastos'!M24</f>
        <v>0</v>
      </c>
      <c r="M22" s="566">
        <f>-+'Otros Gastos'!N24</f>
        <v>0</v>
      </c>
      <c r="N22" s="566">
        <f>-+'Otros Gastos'!O24</f>
        <v>0</v>
      </c>
      <c r="O22" s="566">
        <f>-+'Otros Gastos'!P24</f>
        <v>0</v>
      </c>
      <c r="P22" s="566">
        <f>-+'Otros Gastos'!Q24</f>
        <v>0</v>
      </c>
      <c r="Q22" s="566">
        <f>-+'Otros Gastos'!R24</f>
        <v>0</v>
      </c>
      <c r="R22" s="566">
        <f>-+'Otros Gastos'!S24</f>
        <v>0</v>
      </c>
      <c r="S22" s="566">
        <f>-+'Otros Gastos'!T24</f>
        <v>0</v>
      </c>
      <c r="T22" s="566">
        <f>-+'Otros Gastos'!U24</f>
        <v>0</v>
      </c>
      <c r="U22" s="566">
        <f>-+'Otros Gastos'!V24</f>
        <v>0</v>
      </c>
      <c r="V22" s="566">
        <f>-+'Otros Gastos'!W24</f>
        <v>0</v>
      </c>
      <c r="W22" s="566">
        <f>-+'Otros Gastos'!X24</f>
        <v>0</v>
      </c>
      <c r="X22" s="566">
        <f>-+'Otros Gastos'!Y24</f>
        <v>0</v>
      </c>
      <c r="Y22" s="566">
        <f>-+'Otros Gastos'!Z24</f>
        <v>0</v>
      </c>
      <c r="Z22" s="566">
        <f>-+'Otros Gastos'!AA24</f>
        <v>0</v>
      </c>
      <c r="AA22" s="566">
        <f>-+'Otros Gastos'!AB24</f>
        <v>0</v>
      </c>
      <c r="AB22" s="566">
        <f>-+'Otros Gastos'!AC24</f>
        <v>0</v>
      </c>
      <c r="AC22" s="566">
        <f>-+'Otros Gastos'!AD24</f>
        <v>0</v>
      </c>
      <c r="AD22" s="566">
        <f>-+'Otros Gastos'!AE24</f>
        <v>0</v>
      </c>
      <c r="AE22" s="566">
        <f>-+'Otros Gastos'!AF24</f>
        <v>0</v>
      </c>
      <c r="AF22" s="566">
        <f>-+'Otros Gastos'!AG24</f>
        <v>0</v>
      </c>
      <c r="AG22" s="566">
        <f>-+'Otros Gastos'!AH24</f>
        <v>0</v>
      </c>
      <c r="AH22" s="566">
        <f>-+'Otros Gastos'!AI24</f>
        <v>0</v>
      </c>
      <c r="AI22" s="566">
        <f>-+'Otros Gastos'!AJ24</f>
        <v>0</v>
      </c>
      <c r="AJ22" s="566">
        <f>-+'Otros Gastos'!AK24</f>
        <v>0</v>
      </c>
      <c r="AK22" s="566">
        <f>-+'Otros Gastos'!AL24</f>
        <v>0</v>
      </c>
      <c r="AL22" s="566">
        <f>-+'Otros Gastos'!AM24</f>
        <v>0</v>
      </c>
    </row>
    <row r="23" spans="2:38" ht="15.75" hidden="1" outlineLevel="1">
      <c r="B23" s="99">
        <f>+'Otros Gastos'!B25</f>
        <v>0</v>
      </c>
      <c r="C23" s="566">
        <f>-+'Otros Gastos'!D25</f>
        <v>0</v>
      </c>
      <c r="D23" s="566">
        <f>-+'Otros Gastos'!E25</f>
        <v>0</v>
      </c>
      <c r="E23" s="566">
        <f>-+'Otros Gastos'!F25</f>
        <v>0</v>
      </c>
      <c r="F23" s="566">
        <f>-+'Otros Gastos'!G25</f>
        <v>0</v>
      </c>
      <c r="G23" s="566">
        <f>-+'Otros Gastos'!H25</f>
        <v>0</v>
      </c>
      <c r="H23" s="566">
        <f>-+'Otros Gastos'!I25</f>
        <v>0</v>
      </c>
      <c r="I23" s="566">
        <f>-+'Otros Gastos'!J25</f>
        <v>0</v>
      </c>
      <c r="J23" s="566">
        <f>-+'Otros Gastos'!K25</f>
        <v>0</v>
      </c>
      <c r="K23" s="566">
        <f>-+'Otros Gastos'!L25</f>
        <v>0</v>
      </c>
      <c r="L23" s="566">
        <f>-+'Otros Gastos'!M25</f>
        <v>0</v>
      </c>
      <c r="M23" s="566">
        <f>-+'Otros Gastos'!N25</f>
        <v>0</v>
      </c>
      <c r="N23" s="566">
        <f>-+'Otros Gastos'!O25</f>
        <v>0</v>
      </c>
      <c r="O23" s="566">
        <f>-+'Otros Gastos'!P25</f>
        <v>0</v>
      </c>
      <c r="P23" s="566">
        <f>-+'Otros Gastos'!Q25</f>
        <v>0</v>
      </c>
      <c r="Q23" s="566">
        <f>-+'Otros Gastos'!R25</f>
        <v>0</v>
      </c>
      <c r="R23" s="566">
        <f>-+'Otros Gastos'!S25</f>
        <v>0</v>
      </c>
      <c r="S23" s="566">
        <f>-+'Otros Gastos'!T25</f>
        <v>0</v>
      </c>
      <c r="T23" s="566">
        <f>-+'Otros Gastos'!U25</f>
        <v>0</v>
      </c>
      <c r="U23" s="566">
        <f>-+'Otros Gastos'!V25</f>
        <v>0</v>
      </c>
      <c r="V23" s="566">
        <f>-+'Otros Gastos'!W25</f>
        <v>0</v>
      </c>
      <c r="W23" s="566">
        <f>-+'Otros Gastos'!X25</f>
        <v>0</v>
      </c>
      <c r="X23" s="566">
        <f>-+'Otros Gastos'!Y25</f>
        <v>0</v>
      </c>
      <c r="Y23" s="566">
        <f>-+'Otros Gastos'!Z25</f>
        <v>0</v>
      </c>
      <c r="Z23" s="566">
        <f>-+'Otros Gastos'!AA25</f>
        <v>0</v>
      </c>
      <c r="AA23" s="566">
        <f>-+'Otros Gastos'!AB25</f>
        <v>0</v>
      </c>
      <c r="AB23" s="566">
        <f>-+'Otros Gastos'!AC25</f>
        <v>0</v>
      </c>
      <c r="AC23" s="566">
        <f>-+'Otros Gastos'!AD25</f>
        <v>0</v>
      </c>
      <c r="AD23" s="566">
        <f>-+'Otros Gastos'!AE25</f>
        <v>0</v>
      </c>
      <c r="AE23" s="566">
        <f>-+'Otros Gastos'!AF25</f>
        <v>0</v>
      </c>
      <c r="AF23" s="566">
        <f>-+'Otros Gastos'!AG25</f>
        <v>0</v>
      </c>
      <c r="AG23" s="566">
        <f>-+'Otros Gastos'!AH25</f>
        <v>0</v>
      </c>
      <c r="AH23" s="566">
        <f>-+'Otros Gastos'!AI25</f>
        <v>0</v>
      </c>
      <c r="AI23" s="566">
        <f>-+'Otros Gastos'!AJ25</f>
        <v>0</v>
      </c>
      <c r="AJ23" s="566">
        <f>-+'Otros Gastos'!AK25</f>
        <v>0</v>
      </c>
      <c r="AK23" s="566">
        <f>-+'Otros Gastos'!AL25</f>
        <v>0</v>
      </c>
      <c r="AL23" s="566">
        <f>-+'Otros Gastos'!AM25</f>
        <v>0</v>
      </c>
    </row>
    <row r="24" spans="2:38" ht="15.75" hidden="1" outlineLevel="1">
      <c r="B24" s="99">
        <f>+'Otros Gastos'!B26</f>
        <v>0</v>
      </c>
      <c r="C24" s="566">
        <f>-+'Otros Gastos'!D26</f>
        <v>0</v>
      </c>
      <c r="D24" s="566">
        <f>-+'Otros Gastos'!E26</f>
        <v>0</v>
      </c>
      <c r="E24" s="566">
        <f>-+'Otros Gastos'!F26</f>
        <v>0</v>
      </c>
      <c r="F24" s="566">
        <f>-+'Otros Gastos'!G26</f>
        <v>0</v>
      </c>
      <c r="G24" s="566">
        <f>-+'Otros Gastos'!H26</f>
        <v>0</v>
      </c>
      <c r="H24" s="566">
        <f>-+'Otros Gastos'!I26</f>
        <v>0</v>
      </c>
      <c r="I24" s="566">
        <f>-+'Otros Gastos'!J26</f>
        <v>0</v>
      </c>
      <c r="J24" s="566">
        <f>-+'Otros Gastos'!K26</f>
        <v>0</v>
      </c>
      <c r="K24" s="566">
        <f>-+'Otros Gastos'!L26</f>
        <v>0</v>
      </c>
      <c r="L24" s="566">
        <f>-+'Otros Gastos'!M26</f>
        <v>0</v>
      </c>
      <c r="M24" s="566">
        <f>-+'Otros Gastos'!N26</f>
        <v>0</v>
      </c>
      <c r="N24" s="566">
        <f>-+'Otros Gastos'!O26</f>
        <v>0</v>
      </c>
      <c r="O24" s="566">
        <f>-+'Otros Gastos'!P26</f>
        <v>0</v>
      </c>
      <c r="P24" s="566">
        <f>-+'Otros Gastos'!Q26</f>
        <v>0</v>
      </c>
      <c r="Q24" s="566">
        <f>-+'Otros Gastos'!R26</f>
        <v>0</v>
      </c>
      <c r="R24" s="566">
        <f>-+'Otros Gastos'!S26</f>
        <v>0</v>
      </c>
      <c r="S24" s="566">
        <f>-+'Otros Gastos'!T26</f>
        <v>0</v>
      </c>
      <c r="T24" s="566">
        <f>-+'Otros Gastos'!U26</f>
        <v>0</v>
      </c>
      <c r="U24" s="566">
        <f>-+'Otros Gastos'!V26</f>
        <v>0</v>
      </c>
      <c r="V24" s="566">
        <f>-+'Otros Gastos'!W26</f>
        <v>0</v>
      </c>
      <c r="W24" s="566">
        <f>-+'Otros Gastos'!X26</f>
        <v>0</v>
      </c>
      <c r="X24" s="566">
        <f>-+'Otros Gastos'!Y26</f>
        <v>0</v>
      </c>
      <c r="Y24" s="566">
        <f>-+'Otros Gastos'!Z26</f>
        <v>0</v>
      </c>
      <c r="Z24" s="566">
        <f>-+'Otros Gastos'!AA26</f>
        <v>0</v>
      </c>
      <c r="AA24" s="566">
        <f>-+'Otros Gastos'!AB26</f>
        <v>0</v>
      </c>
      <c r="AB24" s="566">
        <f>-+'Otros Gastos'!AC26</f>
        <v>0</v>
      </c>
      <c r="AC24" s="566">
        <f>-+'Otros Gastos'!AD26</f>
        <v>0</v>
      </c>
      <c r="AD24" s="566">
        <f>-+'Otros Gastos'!AE26</f>
        <v>0</v>
      </c>
      <c r="AE24" s="566">
        <f>-+'Otros Gastos'!AF26</f>
        <v>0</v>
      </c>
      <c r="AF24" s="566">
        <f>-+'Otros Gastos'!AG26</f>
        <v>0</v>
      </c>
      <c r="AG24" s="566">
        <f>-+'Otros Gastos'!AH26</f>
        <v>0</v>
      </c>
      <c r="AH24" s="566">
        <f>-+'Otros Gastos'!AI26</f>
        <v>0</v>
      </c>
      <c r="AI24" s="566">
        <f>-+'Otros Gastos'!AJ26</f>
        <v>0</v>
      </c>
      <c r="AJ24" s="566">
        <f>-+'Otros Gastos'!AK26</f>
        <v>0</v>
      </c>
      <c r="AK24" s="566">
        <f>-+'Otros Gastos'!AL26</f>
        <v>0</v>
      </c>
      <c r="AL24" s="566">
        <f>-+'Otros Gastos'!AM26</f>
        <v>0</v>
      </c>
    </row>
    <row r="25" spans="2:38" ht="15.75" hidden="1" outlineLevel="1">
      <c r="B25" s="99">
        <f>+'Otros Gastos'!B27</f>
        <v>0</v>
      </c>
      <c r="C25" s="566">
        <f>-+'Otros Gastos'!D27</f>
        <v>0</v>
      </c>
      <c r="D25" s="566">
        <f>-+'Otros Gastos'!E27</f>
        <v>0</v>
      </c>
      <c r="E25" s="566">
        <f>-+'Otros Gastos'!F27</f>
        <v>0</v>
      </c>
      <c r="F25" s="566">
        <f>-+'Otros Gastos'!G27</f>
        <v>0</v>
      </c>
      <c r="G25" s="566">
        <f>-+'Otros Gastos'!H27</f>
        <v>0</v>
      </c>
      <c r="H25" s="566">
        <f>-+'Otros Gastos'!I27</f>
        <v>0</v>
      </c>
      <c r="I25" s="566">
        <f>-+'Otros Gastos'!J27</f>
        <v>0</v>
      </c>
      <c r="J25" s="566">
        <f>-+'Otros Gastos'!K27</f>
        <v>0</v>
      </c>
      <c r="K25" s="566">
        <f>-+'Otros Gastos'!L27</f>
        <v>0</v>
      </c>
      <c r="L25" s="566">
        <f>-+'Otros Gastos'!M27</f>
        <v>0</v>
      </c>
      <c r="M25" s="566">
        <f>-+'Otros Gastos'!N27</f>
        <v>0</v>
      </c>
      <c r="N25" s="566">
        <f>-+'Otros Gastos'!O27</f>
        <v>0</v>
      </c>
      <c r="O25" s="566">
        <f>-+'Otros Gastos'!P27</f>
        <v>0</v>
      </c>
      <c r="P25" s="566">
        <f>-+'Otros Gastos'!Q27</f>
        <v>0</v>
      </c>
      <c r="Q25" s="566">
        <f>-+'Otros Gastos'!R27</f>
        <v>0</v>
      </c>
      <c r="R25" s="566">
        <f>-+'Otros Gastos'!S27</f>
        <v>0</v>
      </c>
      <c r="S25" s="566">
        <f>-+'Otros Gastos'!T27</f>
        <v>0</v>
      </c>
      <c r="T25" s="566">
        <f>-+'Otros Gastos'!U27</f>
        <v>0</v>
      </c>
      <c r="U25" s="566">
        <f>-+'Otros Gastos'!V27</f>
        <v>0</v>
      </c>
      <c r="V25" s="566">
        <f>-+'Otros Gastos'!W27</f>
        <v>0</v>
      </c>
      <c r="W25" s="566">
        <f>-+'Otros Gastos'!X27</f>
        <v>0</v>
      </c>
      <c r="X25" s="566">
        <f>-+'Otros Gastos'!Y27</f>
        <v>0</v>
      </c>
      <c r="Y25" s="566">
        <f>-+'Otros Gastos'!Z27</f>
        <v>0</v>
      </c>
      <c r="Z25" s="566">
        <f>-+'Otros Gastos'!AA27</f>
        <v>0</v>
      </c>
      <c r="AA25" s="566">
        <f>-+'Otros Gastos'!AB27</f>
        <v>0</v>
      </c>
      <c r="AB25" s="566">
        <f>-+'Otros Gastos'!AC27</f>
        <v>0</v>
      </c>
      <c r="AC25" s="566">
        <f>-+'Otros Gastos'!AD27</f>
        <v>0</v>
      </c>
      <c r="AD25" s="566">
        <f>-+'Otros Gastos'!AE27</f>
        <v>0</v>
      </c>
      <c r="AE25" s="566">
        <f>-+'Otros Gastos'!AF27</f>
        <v>0</v>
      </c>
      <c r="AF25" s="566">
        <f>-+'Otros Gastos'!AG27</f>
        <v>0</v>
      </c>
      <c r="AG25" s="566">
        <f>-+'Otros Gastos'!AH27</f>
        <v>0</v>
      </c>
      <c r="AH25" s="566">
        <f>-+'Otros Gastos'!AI27</f>
        <v>0</v>
      </c>
      <c r="AI25" s="566">
        <f>-+'Otros Gastos'!AJ27</f>
        <v>0</v>
      </c>
      <c r="AJ25" s="566">
        <f>-+'Otros Gastos'!AK27</f>
        <v>0</v>
      </c>
      <c r="AK25" s="566">
        <f>-+'Otros Gastos'!AL27</f>
        <v>0</v>
      </c>
      <c r="AL25" s="566">
        <f>-+'Otros Gastos'!AM27</f>
        <v>0</v>
      </c>
    </row>
    <row r="26" spans="2:38" ht="15.75" hidden="1" outlineLevel="1">
      <c r="B26" s="99">
        <f>+'Otros Gastos'!B28</f>
        <v>0</v>
      </c>
      <c r="C26" s="566">
        <f>-+'Otros Gastos'!D28</f>
        <v>0</v>
      </c>
      <c r="D26" s="566">
        <f>-+'Otros Gastos'!E28</f>
        <v>0</v>
      </c>
      <c r="E26" s="566">
        <f>-+'Otros Gastos'!F28</f>
        <v>0</v>
      </c>
      <c r="F26" s="566">
        <f>-+'Otros Gastos'!G28</f>
        <v>0</v>
      </c>
      <c r="G26" s="566">
        <f>-+'Otros Gastos'!H28</f>
        <v>0</v>
      </c>
      <c r="H26" s="566">
        <f>-+'Otros Gastos'!I28</f>
        <v>0</v>
      </c>
      <c r="I26" s="566">
        <f>-+'Otros Gastos'!J28</f>
        <v>0</v>
      </c>
      <c r="J26" s="566">
        <f>-+'Otros Gastos'!K28</f>
        <v>0</v>
      </c>
      <c r="K26" s="566">
        <f>-+'Otros Gastos'!L28</f>
        <v>0</v>
      </c>
      <c r="L26" s="566">
        <f>-+'Otros Gastos'!M28</f>
        <v>0</v>
      </c>
      <c r="M26" s="566">
        <f>-+'Otros Gastos'!N28</f>
        <v>0</v>
      </c>
      <c r="N26" s="566">
        <f>-+'Otros Gastos'!O28</f>
        <v>0</v>
      </c>
      <c r="O26" s="566">
        <f>-+'Otros Gastos'!P28</f>
        <v>0</v>
      </c>
      <c r="P26" s="566">
        <f>-+'Otros Gastos'!Q28</f>
        <v>0</v>
      </c>
      <c r="Q26" s="566">
        <f>-+'Otros Gastos'!R28</f>
        <v>0</v>
      </c>
      <c r="R26" s="566">
        <f>-+'Otros Gastos'!S28</f>
        <v>0</v>
      </c>
      <c r="S26" s="566">
        <f>-+'Otros Gastos'!T28</f>
        <v>0</v>
      </c>
      <c r="T26" s="566">
        <f>-+'Otros Gastos'!U28</f>
        <v>0</v>
      </c>
      <c r="U26" s="566">
        <f>-+'Otros Gastos'!V28</f>
        <v>0</v>
      </c>
      <c r="V26" s="566">
        <f>-+'Otros Gastos'!W28</f>
        <v>0</v>
      </c>
      <c r="W26" s="566">
        <f>-+'Otros Gastos'!X28</f>
        <v>0</v>
      </c>
      <c r="X26" s="566">
        <f>-+'Otros Gastos'!Y28</f>
        <v>0</v>
      </c>
      <c r="Y26" s="566">
        <f>-+'Otros Gastos'!Z28</f>
        <v>0</v>
      </c>
      <c r="Z26" s="566">
        <f>-+'Otros Gastos'!AA28</f>
        <v>0</v>
      </c>
      <c r="AA26" s="566">
        <f>-+'Otros Gastos'!AB28</f>
        <v>0</v>
      </c>
      <c r="AB26" s="566">
        <f>-+'Otros Gastos'!AC28</f>
        <v>0</v>
      </c>
      <c r="AC26" s="566">
        <f>-+'Otros Gastos'!AD28</f>
        <v>0</v>
      </c>
      <c r="AD26" s="566">
        <f>-+'Otros Gastos'!AE28</f>
        <v>0</v>
      </c>
      <c r="AE26" s="566">
        <f>-+'Otros Gastos'!AF28</f>
        <v>0</v>
      </c>
      <c r="AF26" s="566">
        <f>-+'Otros Gastos'!AG28</f>
        <v>0</v>
      </c>
      <c r="AG26" s="566">
        <f>-+'Otros Gastos'!AH28</f>
        <v>0</v>
      </c>
      <c r="AH26" s="566">
        <f>-+'Otros Gastos'!AI28</f>
        <v>0</v>
      </c>
      <c r="AI26" s="566">
        <f>-+'Otros Gastos'!AJ28</f>
        <v>0</v>
      </c>
      <c r="AJ26" s="566">
        <f>-+'Otros Gastos'!AK28</f>
        <v>0</v>
      </c>
      <c r="AK26" s="566">
        <f>-+'Otros Gastos'!AL28</f>
        <v>0</v>
      </c>
      <c r="AL26" s="566">
        <f>-+'Otros Gastos'!AM28</f>
        <v>0</v>
      </c>
    </row>
    <row r="27" spans="2:38" ht="15.75" hidden="1" outlineLevel="1">
      <c r="B27" s="99">
        <f>+'Otros Gastos'!B29</f>
        <v>0</v>
      </c>
      <c r="C27" s="566">
        <f>-+'Otros Gastos'!D29</f>
        <v>0</v>
      </c>
      <c r="D27" s="566">
        <f>-+'Otros Gastos'!E29</f>
        <v>0</v>
      </c>
      <c r="E27" s="566">
        <f>-+'Otros Gastos'!F29</f>
        <v>0</v>
      </c>
      <c r="F27" s="566">
        <f>-+'Otros Gastos'!G29</f>
        <v>0</v>
      </c>
      <c r="G27" s="566">
        <f>-+'Otros Gastos'!H29</f>
        <v>0</v>
      </c>
      <c r="H27" s="566">
        <f>-+'Otros Gastos'!I29</f>
        <v>0</v>
      </c>
      <c r="I27" s="566">
        <f>-+'Otros Gastos'!J29</f>
        <v>0</v>
      </c>
      <c r="J27" s="566">
        <f>-+'Otros Gastos'!K29</f>
        <v>0</v>
      </c>
      <c r="K27" s="566">
        <f>-+'Otros Gastos'!L29</f>
        <v>0</v>
      </c>
      <c r="L27" s="566">
        <f>-+'Otros Gastos'!M29</f>
        <v>0</v>
      </c>
      <c r="M27" s="566">
        <f>-+'Otros Gastos'!N29</f>
        <v>0</v>
      </c>
      <c r="N27" s="566">
        <f>-+'Otros Gastos'!O29</f>
        <v>0</v>
      </c>
      <c r="O27" s="566">
        <f>-+'Otros Gastos'!P29</f>
        <v>0</v>
      </c>
      <c r="P27" s="566">
        <f>-+'Otros Gastos'!Q29</f>
        <v>0</v>
      </c>
      <c r="Q27" s="566">
        <f>-+'Otros Gastos'!R29</f>
        <v>0</v>
      </c>
      <c r="R27" s="566">
        <f>-+'Otros Gastos'!S29</f>
        <v>0</v>
      </c>
      <c r="S27" s="566">
        <f>-+'Otros Gastos'!T29</f>
        <v>0</v>
      </c>
      <c r="T27" s="566">
        <f>-+'Otros Gastos'!U29</f>
        <v>0</v>
      </c>
      <c r="U27" s="566">
        <f>-+'Otros Gastos'!V29</f>
        <v>0</v>
      </c>
      <c r="V27" s="566">
        <f>-+'Otros Gastos'!W29</f>
        <v>0</v>
      </c>
      <c r="W27" s="566">
        <f>-+'Otros Gastos'!X29</f>
        <v>0</v>
      </c>
      <c r="X27" s="566">
        <f>-+'Otros Gastos'!Y29</f>
        <v>0</v>
      </c>
      <c r="Y27" s="566">
        <f>-+'Otros Gastos'!Z29</f>
        <v>0</v>
      </c>
      <c r="Z27" s="566">
        <f>-+'Otros Gastos'!AA29</f>
        <v>0</v>
      </c>
      <c r="AA27" s="566">
        <f>-+'Otros Gastos'!AB29</f>
        <v>0</v>
      </c>
      <c r="AB27" s="566">
        <f>-+'Otros Gastos'!AC29</f>
        <v>0</v>
      </c>
      <c r="AC27" s="566">
        <f>-+'Otros Gastos'!AD29</f>
        <v>0</v>
      </c>
      <c r="AD27" s="566">
        <f>-+'Otros Gastos'!AE29</f>
        <v>0</v>
      </c>
      <c r="AE27" s="566">
        <f>-+'Otros Gastos'!AF29</f>
        <v>0</v>
      </c>
      <c r="AF27" s="566">
        <f>-+'Otros Gastos'!AG29</f>
        <v>0</v>
      </c>
      <c r="AG27" s="566">
        <f>-+'Otros Gastos'!AH29</f>
        <v>0</v>
      </c>
      <c r="AH27" s="566">
        <f>-+'Otros Gastos'!AI29</f>
        <v>0</v>
      </c>
      <c r="AI27" s="566">
        <f>-+'Otros Gastos'!AJ29</f>
        <v>0</v>
      </c>
      <c r="AJ27" s="566">
        <f>-+'Otros Gastos'!AK29</f>
        <v>0</v>
      </c>
      <c r="AK27" s="566">
        <f>-+'Otros Gastos'!AL29</f>
        <v>0</v>
      </c>
      <c r="AL27" s="566">
        <f>-+'Otros Gastos'!AM29</f>
        <v>0</v>
      </c>
    </row>
    <row r="28" spans="2:38" ht="15.75" hidden="1" outlineLevel="1">
      <c r="B28" s="99">
        <f>+'Otros Gastos'!B30</f>
        <v>0</v>
      </c>
      <c r="C28" s="566">
        <f>-+'Otros Gastos'!D30</f>
        <v>0</v>
      </c>
      <c r="D28" s="566">
        <f>-+'Otros Gastos'!E30</f>
        <v>0</v>
      </c>
      <c r="E28" s="566">
        <f>-+'Otros Gastos'!F30</f>
        <v>0</v>
      </c>
      <c r="F28" s="566">
        <f>-+'Otros Gastos'!G30</f>
        <v>0</v>
      </c>
      <c r="G28" s="566">
        <f>-+'Otros Gastos'!H30</f>
        <v>0</v>
      </c>
      <c r="H28" s="566">
        <f>-+'Otros Gastos'!I30</f>
        <v>0</v>
      </c>
      <c r="I28" s="566">
        <f>-+'Otros Gastos'!J30</f>
        <v>0</v>
      </c>
      <c r="J28" s="566">
        <f>-+'Otros Gastos'!K30</f>
        <v>0</v>
      </c>
      <c r="K28" s="566">
        <f>-+'Otros Gastos'!L30</f>
        <v>0</v>
      </c>
      <c r="L28" s="566">
        <f>-+'Otros Gastos'!M30</f>
        <v>0</v>
      </c>
      <c r="M28" s="566">
        <f>-+'Otros Gastos'!N30</f>
        <v>0</v>
      </c>
      <c r="N28" s="566">
        <f>-+'Otros Gastos'!O30</f>
        <v>0</v>
      </c>
      <c r="O28" s="566">
        <f>-+'Otros Gastos'!P30</f>
        <v>0</v>
      </c>
      <c r="P28" s="566">
        <f>-+'Otros Gastos'!Q30</f>
        <v>0</v>
      </c>
      <c r="Q28" s="566">
        <f>-+'Otros Gastos'!R30</f>
        <v>0</v>
      </c>
      <c r="R28" s="566">
        <f>-+'Otros Gastos'!S30</f>
        <v>0</v>
      </c>
      <c r="S28" s="566">
        <f>-+'Otros Gastos'!T30</f>
        <v>0</v>
      </c>
      <c r="T28" s="566">
        <f>-+'Otros Gastos'!U30</f>
        <v>0</v>
      </c>
      <c r="U28" s="566">
        <f>-+'Otros Gastos'!V30</f>
        <v>0</v>
      </c>
      <c r="V28" s="566">
        <f>-+'Otros Gastos'!W30</f>
        <v>0</v>
      </c>
      <c r="W28" s="566">
        <f>-+'Otros Gastos'!X30</f>
        <v>0</v>
      </c>
      <c r="X28" s="566">
        <f>-+'Otros Gastos'!Y30</f>
        <v>0</v>
      </c>
      <c r="Y28" s="566">
        <f>-+'Otros Gastos'!Z30</f>
        <v>0</v>
      </c>
      <c r="Z28" s="566">
        <f>-+'Otros Gastos'!AA30</f>
        <v>0</v>
      </c>
      <c r="AA28" s="566">
        <f>-+'Otros Gastos'!AB30</f>
        <v>0</v>
      </c>
      <c r="AB28" s="566">
        <f>-+'Otros Gastos'!AC30</f>
        <v>0</v>
      </c>
      <c r="AC28" s="566">
        <f>-+'Otros Gastos'!AD30</f>
        <v>0</v>
      </c>
      <c r="AD28" s="566">
        <f>-+'Otros Gastos'!AE30</f>
        <v>0</v>
      </c>
      <c r="AE28" s="566">
        <f>-+'Otros Gastos'!AF30</f>
        <v>0</v>
      </c>
      <c r="AF28" s="566">
        <f>-+'Otros Gastos'!AG30</f>
        <v>0</v>
      </c>
      <c r="AG28" s="566">
        <f>-+'Otros Gastos'!AH30</f>
        <v>0</v>
      </c>
      <c r="AH28" s="566">
        <f>-+'Otros Gastos'!AI30</f>
        <v>0</v>
      </c>
      <c r="AI28" s="566">
        <f>-+'Otros Gastos'!AJ30</f>
        <v>0</v>
      </c>
      <c r="AJ28" s="566">
        <f>-+'Otros Gastos'!AK30</f>
        <v>0</v>
      </c>
      <c r="AK28" s="566">
        <f>-+'Otros Gastos'!AL30</f>
        <v>0</v>
      </c>
      <c r="AL28" s="566">
        <f>-+'Otros Gastos'!AM30</f>
        <v>0</v>
      </c>
    </row>
    <row r="29" spans="2:38" ht="15.75" hidden="1" outlineLevel="1">
      <c r="B29" s="99">
        <f>+'Otros Gastos'!B31</f>
        <v>0</v>
      </c>
      <c r="C29" s="566">
        <f>-+'Otros Gastos'!D31</f>
        <v>0</v>
      </c>
      <c r="D29" s="566">
        <f>-+'Otros Gastos'!E31</f>
        <v>0</v>
      </c>
      <c r="E29" s="566">
        <f>-+'Otros Gastos'!F31</f>
        <v>0</v>
      </c>
      <c r="F29" s="566">
        <f>-+'Otros Gastos'!G31</f>
        <v>0</v>
      </c>
      <c r="G29" s="566">
        <f>-+'Otros Gastos'!H31</f>
        <v>0</v>
      </c>
      <c r="H29" s="566">
        <f>-+'Otros Gastos'!I31</f>
        <v>0</v>
      </c>
      <c r="I29" s="566">
        <f>-+'Otros Gastos'!J31</f>
        <v>0</v>
      </c>
      <c r="J29" s="566">
        <f>-+'Otros Gastos'!K31</f>
        <v>0</v>
      </c>
      <c r="K29" s="566">
        <f>-+'Otros Gastos'!L31</f>
        <v>0</v>
      </c>
      <c r="L29" s="566">
        <f>-+'Otros Gastos'!M31</f>
        <v>0</v>
      </c>
      <c r="M29" s="566">
        <f>-+'Otros Gastos'!N31</f>
        <v>0</v>
      </c>
      <c r="N29" s="566">
        <f>-+'Otros Gastos'!O31</f>
        <v>0</v>
      </c>
      <c r="O29" s="566">
        <f>-+'Otros Gastos'!P31</f>
        <v>0</v>
      </c>
      <c r="P29" s="566">
        <f>-+'Otros Gastos'!Q31</f>
        <v>0</v>
      </c>
      <c r="Q29" s="566">
        <f>-+'Otros Gastos'!R31</f>
        <v>0</v>
      </c>
      <c r="R29" s="566">
        <f>-+'Otros Gastos'!S31</f>
        <v>0</v>
      </c>
      <c r="S29" s="566">
        <f>-+'Otros Gastos'!T31</f>
        <v>0</v>
      </c>
      <c r="T29" s="566">
        <f>-+'Otros Gastos'!U31</f>
        <v>0</v>
      </c>
      <c r="U29" s="566">
        <f>-+'Otros Gastos'!V31</f>
        <v>0</v>
      </c>
      <c r="V29" s="566">
        <f>-+'Otros Gastos'!W31</f>
        <v>0</v>
      </c>
      <c r="W29" s="566">
        <f>-+'Otros Gastos'!X31</f>
        <v>0</v>
      </c>
      <c r="X29" s="566">
        <f>-+'Otros Gastos'!Y31</f>
        <v>0</v>
      </c>
      <c r="Y29" s="566">
        <f>-+'Otros Gastos'!Z31</f>
        <v>0</v>
      </c>
      <c r="Z29" s="566">
        <f>-+'Otros Gastos'!AA31</f>
        <v>0</v>
      </c>
      <c r="AA29" s="566">
        <f>-+'Otros Gastos'!AB31</f>
        <v>0</v>
      </c>
      <c r="AB29" s="566">
        <f>-+'Otros Gastos'!AC31</f>
        <v>0</v>
      </c>
      <c r="AC29" s="566">
        <f>-+'Otros Gastos'!AD31</f>
        <v>0</v>
      </c>
      <c r="AD29" s="566">
        <f>-+'Otros Gastos'!AE31</f>
        <v>0</v>
      </c>
      <c r="AE29" s="566">
        <f>-+'Otros Gastos'!AF31</f>
        <v>0</v>
      </c>
      <c r="AF29" s="566">
        <f>-+'Otros Gastos'!AG31</f>
        <v>0</v>
      </c>
      <c r="AG29" s="566">
        <f>-+'Otros Gastos'!AH31</f>
        <v>0</v>
      </c>
      <c r="AH29" s="566">
        <f>-+'Otros Gastos'!AI31</f>
        <v>0</v>
      </c>
      <c r="AI29" s="566">
        <f>-+'Otros Gastos'!AJ31</f>
        <v>0</v>
      </c>
      <c r="AJ29" s="566">
        <f>-+'Otros Gastos'!AK31</f>
        <v>0</v>
      </c>
      <c r="AK29" s="566">
        <f>-+'Otros Gastos'!AL31</f>
        <v>0</v>
      </c>
      <c r="AL29" s="566">
        <f>-+'Otros Gastos'!AM31</f>
        <v>0</v>
      </c>
    </row>
    <row r="30" spans="2:38" ht="15.75" collapsed="1">
      <c r="B30" s="5" t="s">
        <v>133</v>
      </c>
      <c r="C30" s="566">
        <f ca="1">-+'Otros Gastos'!D35</f>
        <v>0</v>
      </c>
      <c r="D30" s="566">
        <f ca="1">-+'Otros Gastos'!E35</f>
        <v>0</v>
      </c>
      <c r="E30" s="566">
        <f ca="1">-+'Otros Gastos'!F35</f>
        <v>0</v>
      </c>
      <c r="F30" s="566">
        <f ca="1">-+'Otros Gastos'!G35</f>
        <v>0</v>
      </c>
      <c r="G30" s="566">
        <f ca="1">-+'Otros Gastos'!H35</f>
        <v>0</v>
      </c>
      <c r="H30" s="566">
        <f ca="1">-+'Otros Gastos'!I35</f>
        <v>0</v>
      </c>
      <c r="I30" s="566">
        <f ca="1">-+'Otros Gastos'!J35</f>
        <v>0</v>
      </c>
      <c r="J30" s="566">
        <f ca="1">-+'Otros Gastos'!K35</f>
        <v>0</v>
      </c>
      <c r="K30" s="566">
        <f ca="1">-+'Otros Gastos'!L35</f>
        <v>0</v>
      </c>
      <c r="L30" s="566">
        <f ca="1">-+'Otros Gastos'!M35</f>
        <v>0</v>
      </c>
      <c r="M30" s="566">
        <f ca="1">-+'Otros Gastos'!N35</f>
        <v>0</v>
      </c>
      <c r="N30" s="566">
        <f ca="1">-+'Otros Gastos'!O35</f>
        <v>0</v>
      </c>
      <c r="O30" s="566">
        <f ca="1">-+'Otros Gastos'!P35</f>
        <v>0</v>
      </c>
      <c r="P30" s="566">
        <f ca="1">-+'Otros Gastos'!Q35</f>
        <v>0</v>
      </c>
      <c r="Q30" s="566">
        <f ca="1">-+'Otros Gastos'!R35</f>
        <v>0</v>
      </c>
      <c r="R30" s="566">
        <f ca="1">-+'Otros Gastos'!S35</f>
        <v>0</v>
      </c>
      <c r="S30" s="566">
        <f ca="1">-+'Otros Gastos'!T35</f>
        <v>0</v>
      </c>
      <c r="T30" s="566">
        <f ca="1">-+'Otros Gastos'!U35</f>
        <v>0</v>
      </c>
      <c r="U30" s="566">
        <f ca="1">-+'Otros Gastos'!V35</f>
        <v>0</v>
      </c>
      <c r="V30" s="566">
        <f ca="1">-+'Otros Gastos'!W35</f>
        <v>0</v>
      </c>
      <c r="W30" s="566">
        <f ca="1">-+'Otros Gastos'!X35</f>
        <v>0</v>
      </c>
      <c r="X30" s="566">
        <f ca="1">-+'Otros Gastos'!Y35</f>
        <v>0</v>
      </c>
      <c r="Y30" s="566">
        <f ca="1">-+'Otros Gastos'!Z35</f>
        <v>0</v>
      </c>
      <c r="Z30" s="566">
        <f ca="1">-+'Otros Gastos'!AA35</f>
        <v>0</v>
      </c>
      <c r="AA30" s="566">
        <f ca="1">-+'Otros Gastos'!AB35</f>
        <v>0</v>
      </c>
      <c r="AB30" s="566">
        <f ca="1">-+'Otros Gastos'!AC35</f>
        <v>0</v>
      </c>
      <c r="AC30" s="566">
        <f ca="1">-+'Otros Gastos'!AD35</f>
        <v>0</v>
      </c>
      <c r="AD30" s="566">
        <f ca="1">-+'Otros Gastos'!AE35</f>
        <v>0</v>
      </c>
      <c r="AE30" s="566">
        <f ca="1">-+'Otros Gastos'!AF35</f>
        <v>0</v>
      </c>
      <c r="AF30" s="566">
        <f ca="1">-+'Otros Gastos'!AG35</f>
        <v>0</v>
      </c>
      <c r="AG30" s="566">
        <f ca="1">-+'Otros Gastos'!AH35</f>
        <v>0</v>
      </c>
      <c r="AH30" s="566">
        <f ca="1">-+'Otros Gastos'!AI35</f>
        <v>0</v>
      </c>
      <c r="AI30" s="566">
        <f ca="1">-+'Otros Gastos'!AJ35</f>
        <v>0</v>
      </c>
      <c r="AJ30" s="566">
        <f ca="1">-+'Otros Gastos'!AK35</f>
        <v>0</v>
      </c>
      <c r="AK30" s="566">
        <f ca="1">-+'Otros Gastos'!AL35</f>
        <v>0</v>
      </c>
      <c r="AL30" s="566">
        <f ca="1">-+'Otros Gastos'!AM35</f>
        <v>0</v>
      </c>
    </row>
    <row r="31" spans="2:38" ht="15.75">
      <c r="B31" s="5" t="s">
        <v>192</v>
      </c>
      <c r="C31" s="566">
        <f>-+'Otros Gastos'!D42</f>
        <v>0</v>
      </c>
      <c r="D31" s="566">
        <f>-+'Otros Gastos'!E42</f>
        <v>0</v>
      </c>
      <c r="E31" s="566">
        <f>-+'Otros Gastos'!F42</f>
        <v>0</v>
      </c>
      <c r="F31" s="566">
        <f>-+'Otros Gastos'!G42</f>
        <v>0</v>
      </c>
      <c r="G31" s="566">
        <f>-+'Otros Gastos'!H42</f>
        <v>0</v>
      </c>
      <c r="H31" s="566">
        <f>-+'Otros Gastos'!I42</f>
        <v>0</v>
      </c>
      <c r="I31" s="566">
        <f>-+'Otros Gastos'!J42</f>
        <v>0</v>
      </c>
      <c r="J31" s="566">
        <f>-+'Otros Gastos'!K42</f>
        <v>0</v>
      </c>
      <c r="K31" s="566">
        <f>-+'Otros Gastos'!L42</f>
        <v>0</v>
      </c>
      <c r="L31" s="566">
        <f>-+'Otros Gastos'!M42</f>
        <v>0</v>
      </c>
      <c r="M31" s="566">
        <f>-+'Otros Gastos'!N42</f>
        <v>0</v>
      </c>
      <c r="N31" s="566">
        <f>-+'Otros Gastos'!O42</f>
        <v>0</v>
      </c>
      <c r="O31" s="566">
        <f>-+'Otros Gastos'!P42</f>
        <v>0</v>
      </c>
      <c r="P31" s="566">
        <f>-+'Otros Gastos'!Q42</f>
        <v>0</v>
      </c>
      <c r="Q31" s="566">
        <f>-+'Otros Gastos'!R42</f>
        <v>0</v>
      </c>
      <c r="R31" s="566">
        <f>-+'Otros Gastos'!S42</f>
        <v>0</v>
      </c>
      <c r="S31" s="566">
        <f>-+'Otros Gastos'!T42</f>
        <v>0</v>
      </c>
      <c r="T31" s="566">
        <f>-+'Otros Gastos'!U42</f>
        <v>0</v>
      </c>
      <c r="U31" s="566">
        <f>-+'Otros Gastos'!V42</f>
        <v>0</v>
      </c>
      <c r="V31" s="566">
        <f>-+'Otros Gastos'!W42</f>
        <v>0</v>
      </c>
      <c r="W31" s="566">
        <f>-+'Otros Gastos'!X42</f>
        <v>0</v>
      </c>
      <c r="X31" s="566">
        <f>-+'Otros Gastos'!Y42</f>
        <v>0</v>
      </c>
      <c r="Y31" s="566">
        <f>-+'Otros Gastos'!Z42</f>
        <v>0</v>
      </c>
      <c r="Z31" s="566">
        <f>-+'Otros Gastos'!AA42</f>
        <v>0</v>
      </c>
      <c r="AA31" s="566">
        <f>-+'Otros Gastos'!AB42</f>
        <v>0</v>
      </c>
      <c r="AB31" s="566">
        <f>-+'Otros Gastos'!AC42</f>
        <v>0</v>
      </c>
      <c r="AC31" s="566">
        <f>-+'Otros Gastos'!AD42</f>
        <v>0</v>
      </c>
      <c r="AD31" s="566">
        <f>-+'Otros Gastos'!AE42</f>
        <v>0</v>
      </c>
      <c r="AE31" s="566">
        <f>-+'Otros Gastos'!AF42</f>
        <v>0</v>
      </c>
      <c r="AF31" s="566">
        <f>-+'Otros Gastos'!AG42</f>
        <v>0</v>
      </c>
      <c r="AG31" s="566">
        <f>-+'Otros Gastos'!AH42</f>
        <v>0</v>
      </c>
      <c r="AH31" s="566">
        <f>-+'Otros Gastos'!AI42</f>
        <v>0</v>
      </c>
      <c r="AI31" s="566">
        <f>-+'Otros Gastos'!AJ42</f>
        <v>0</v>
      </c>
      <c r="AJ31" s="566">
        <f>-+'Otros Gastos'!AK42</f>
        <v>0</v>
      </c>
      <c r="AK31" s="566">
        <f>-+'Otros Gastos'!AL42</f>
        <v>0</v>
      </c>
      <c r="AL31" s="566">
        <f>-+'Otros Gastos'!AM42</f>
        <v>0</v>
      </c>
    </row>
    <row r="32" spans="2:38" s="100" customFormat="1" ht="15.75">
      <c r="B32" s="104" t="s">
        <v>193</v>
      </c>
      <c r="C32" s="567">
        <f t="shared" ref="C32:AL32" ca="1" si="3">SUM(C9:C31)</f>
        <v>0</v>
      </c>
      <c r="D32" s="567">
        <f t="shared" ca="1" si="3"/>
        <v>0</v>
      </c>
      <c r="E32" s="567">
        <f t="shared" ca="1" si="3"/>
        <v>0</v>
      </c>
      <c r="F32" s="567">
        <f t="shared" ca="1" si="3"/>
        <v>0</v>
      </c>
      <c r="G32" s="567">
        <f t="shared" ca="1" si="3"/>
        <v>0</v>
      </c>
      <c r="H32" s="567">
        <f t="shared" ca="1" si="3"/>
        <v>0</v>
      </c>
      <c r="I32" s="567">
        <f t="shared" ca="1" si="3"/>
        <v>0</v>
      </c>
      <c r="J32" s="567">
        <f t="shared" ca="1" si="3"/>
        <v>0</v>
      </c>
      <c r="K32" s="567">
        <f t="shared" ca="1" si="3"/>
        <v>0</v>
      </c>
      <c r="L32" s="567">
        <f t="shared" ca="1" si="3"/>
        <v>0</v>
      </c>
      <c r="M32" s="567">
        <f t="shared" ca="1" si="3"/>
        <v>0</v>
      </c>
      <c r="N32" s="567">
        <f t="shared" ca="1" si="3"/>
        <v>0</v>
      </c>
      <c r="O32" s="567">
        <f t="shared" ca="1" si="3"/>
        <v>0</v>
      </c>
      <c r="P32" s="567">
        <f t="shared" ca="1" si="3"/>
        <v>0</v>
      </c>
      <c r="Q32" s="567">
        <f t="shared" ca="1" si="3"/>
        <v>0</v>
      </c>
      <c r="R32" s="567">
        <f t="shared" ca="1" si="3"/>
        <v>0</v>
      </c>
      <c r="S32" s="567">
        <f t="shared" ca="1" si="3"/>
        <v>0</v>
      </c>
      <c r="T32" s="567">
        <f t="shared" ca="1" si="3"/>
        <v>0</v>
      </c>
      <c r="U32" s="567">
        <f t="shared" ca="1" si="3"/>
        <v>0</v>
      </c>
      <c r="V32" s="567">
        <f t="shared" ca="1" si="3"/>
        <v>0</v>
      </c>
      <c r="W32" s="567">
        <f t="shared" ca="1" si="3"/>
        <v>0</v>
      </c>
      <c r="X32" s="567">
        <f t="shared" ca="1" si="3"/>
        <v>0</v>
      </c>
      <c r="Y32" s="567">
        <f t="shared" ca="1" si="3"/>
        <v>0</v>
      </c>
      <c r="Z32" s="567">
        <f t="shared" ca="1" si="3"/>
        <v>0</v>
      </c>
      <c r="AA32" s="567">
        <f t="shared" ca="1" si="3"/>
        <v>0</v>
      </c>
      <c r="AB32" s="567">
        <f t="shared" ca="1" si="3"/>
        <v>0</v>
      </c>
      <c r="AC32" s="567">
        <f t="shared" ca="1" si="3"/>
        <v>0</v>
      </c>
      <c r="AD32" s="567">
        <f t="shared" ca="1" si="3"/>
        <v>0</v>
      </c>
      <c r="AE32" s="567">
        <f t="shared" ca="1" si="3"/>
        <v>0</v>
      </c>
      <c r="AF32" s="567">
        <f t="shared" ca="1" si="3"/>
        <v>0</v>
      </c>
      <c r="AG32" s="567">
        <f t="shared" ca="1" si="3"/>
        <v>0</v>
      </c>
      <c r="AH32" s="567">
        <f t="shared" ca="1" si="3"/>
        <v>0</v>
      </c>
      <c r="AI32" s="567">
        <f t="shared" ca="1" si="3"/>
        <v>0</v>
      </c>
      <c r="AJ32" s="567">
        <f t="shared" ca="1" si="3"/>
        <v>0</v>
      </c>
      <c r="AK32" s="567">
        <f t="shared" ca="1" si="3"/>
        <v>0</v>
      </c>
      <c r="AL32" s="567">
        <f t="shared" ca="1" si="3"/>
        <v>0</v>
      </c>
    </row>
    <row r="33" spans="2:38" ht="6.75" customHeight="1">
      <c r="C33" s="280"/>
      <c r="D33" s="280"/>
      <c r="E33" s="280"/>
      <c r="F33" s="280"/>
      <c r="G33" s="280"/>
      <c r="H33" s="280"/>
      <c r="I33" s="280"/>
      <c r="J33" s="280"/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80"/>
      <c r="AI33" s="280"/>
      <c r="AJ33" s="280"/>
      <c r="AK33" s="280"/>
      <c r="AL33" s="280"/>
    </row>
    <row r="34" spans="2:38" s="100" customFormat="1" ht="15.75">
      <c r="B34" s="104" t="s">
        <v>194</v>
      </c>
      <c r="C34" s="567">
        <f t="shared" ref="C34:AL34" ca="1" si="4">+C7+C32</f>
        <v>0</v>
      </c>
      <c r="D34" s="567">
        <f t="shared" ca="1" si="4"/>
        <v>0</v>
      </c>
      <c r="E34" s="567">
        <f t="shared" ca="1" si="4"/>
        <v>0</v>
      </c>
      <c r="F34" s="567">
        <f t="shared" ca="1" si="4"/>
        <v>0</v>
      </c>
      <c r="G34" s="567">
        <f t="shared" ca="1" si="4"/>
        <v>0</v>
      </c>
      <c r="H34" s="567">
        <f t="shared" ca="1" si="4"/>
        <v>0</v>
      </c>
      <c r="I34" s="567">
        <f t="shared" ca="1" si="4"/>
        <v>0</v>
      </c>
      <c r="J34" s="567">
        <f t="shared" ca="1" si="4"/>
        <v>0</v>
      </c>
      <c r="K34" s="567">
        <f t="shared" ca="1" si="4"/>
        <v>0</v>
      </c>
      <c r="L34" s="567">
        <f t="shared" ca="1" si="4"/>
        <v>0</v>
      </c>
      <c r="M34" s="567">
        <f t="shared" ca="1" si="4"/>
        <v>0</v>
      </c>
      <c r="N34" s="567">
        <f t="shared" ca="1" si="4"/>
        <v>0</v>
      </c>
      <c r="O34" s="567">
        <f t="shared" ca="1" si="4"/>
        <v>0</v>
      </c>
      <c r="P34" s="567">
        <f t="shared" ca="1" si="4"/>
        <v>0</v>
      </c>
      <c r="Q34" s="567">
        <f t="shared" ca="1" si="4"/>
        <v>0</v>
      </c>
      <c r="R34" s="567">
        <f t="shared" ca="1" si="4"/>
        <v>0</v>
      </c>
      <c r="S34" s="567">
        <f t="shared" ca="1" si="4"/>
        <v>0</v>
      </c>
      <c r="T34" s="567">
        <f t="shared" ca="1" si="4"/>
        <v>0</v>
      </c>
      <c r="U34" s="567">
        <f t="shared" ca="1" si="4"/>
        <v>0</v>
      </c>
      <c r="V34" s="567">
        <f t="shared" ca="1" si="4"/>
        <v>0</v>
      </c>
      <c r="W34" s="567">
        <f t="shared" ca="1" si="4"/>
        <v>0</v>
      </c>
      <c r="X34" s="567">
        <f t="shared" ca="1" si="4"/>
        <v>0</v>
      </c>
      <c r="Y34" s="567">
        <f t="shared" ca="1" si="4"/>
        <v>0</v>
      </c>
      <c r="Z34" s="567">
        <f t="shared" ca="1" si="4"/>
        <v>0</v>
      </c>
      <c r="AA34" s="567">
        <f t="shared" ca="1" si="4"/>
        <v>0</v>
      </c>
      <c r="AB34" s="567">
        <f t="shared" ca="1" si="4"/>
        <v>0</v>
      </c>
      <c r="AC34" s="567">
        <f t="shared" ca="1" si="4"/>
        <v>0</v>
      </c>
      <c r="AD34" s="567">
        <f t="shared" ca="1" si="4"/>
        <v>0</v>
      </c>
      <c r="AE34" s="567">
        <f t="shared" ca="1" si="4"/>
        <v>0</v>
      </c>
      <c r="AF34" s="567">
        <f t="shared" ca="1" si="4"/>
        <v>0</v>
      </c>
      <c r="AG34" s="567">
        <f t="shared" ca="1" si="4"/>
        <v>0</v>
      </c>
      <c r="AH34" s="567">
        <f t="shared" ca="1" si="4"/>
        <v>0</v>
      </c>
      <c r="AI34" s="567">
        <f t="shared" ca="1" si="4"/>
        <v>0</v>
      </c>
      <c r="AJ34" s="567">
        <f t="shared" ca="1" si="4"/>
        <v>0</v>
      </c>
      <c r="AK34" s="567">
        <f t="shared" ca="1" si="4"/>
        <v>0</v>
      </c>
      <c r="AL34" s="567">
        <f t="shared" ca="1" si="4"/>
        <v>0</v>
      </c>
    </row>
    <row r="35" spans="2:38" ht="5.25" customHeight="1">
      <c r="C35" s="280"/>
      <c r="D35" s="280"/>
      <c r="E35" s="280"/>
      <c r="F35" s="280"/>
      <c r="G35" s="280"/>
      <c r="H35" s="280"/>
      <c r="I35" s="280"/>
      <c r="J35" s="280"/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80"/>
      <c r="AI35" s="280"/>
      <c r="AJ35" s="280"/>
      <c r="AK35" s="280"/>
      <c r="AL35" s="280"/>
    </row>
    <row r="36" spans="2:38" ht="15.75">
      <c r="B36" s="5" t="s">
        <v>549</v>
      </c>
      <c r="C36" s="566">
        <f>-'Otros Gastos'!D38</f>
        <v>0</v>
      </c>
      <c r="D36" s="566">
        <f>-'Otros Gastos'!E38</f>
        <v>0</v>
      </c>
      <c r="E36" s="566">
        <f>-'Otros Gastos'!F38</f>
        <v>0</v>
      </c>
      <c r="F36" s="566">
        <f>-'Otros Gastos'!G38</f>
        <v>0</v>
      </c>
      <c r="G36" s="566">
        <f>-'Otros Gastos'!H38</f>
        <v>0</v>
      </c>
      <c r="H36" s="566">
        <f>-'Otros Gastos'!I38</f>
        <v>0</v>
      </c>
      <c r="I36" s="566">
        <f>-'Otros Gastos'!J38</f>
        <v>0</v>
      </c>
      <c r="J36" s="566">
        <f>-'Otros Gastos'!K38</f>
        <v>0</v>
      </c>
      <c r="K36" s="566">
        <f>-'Otros Gastos'!L38</f>
        <v>0</v>
      </c>
      <c r="L36" s="566">
        <f>-'Otros Gastos'!M38</f>
        <v>0</v>
      </c>
      <c r="M36" s="566">
        <f>-'Otros Gastos'!N38</f>
        <v>0</v>
      </c>
      <c r="N36" s="566">
        <f>-'Otros Gastos'!O38</f>
        <v>0</v>
      </c>
      <c r="O36" s="566">
        <f>-'Otros Gastos'!P38</f>
        <v>0</v>
      </c>
      <c r="P36" s="566">
        <f>-'Otros Gastos'!Q38</f>
        <v>0</v>
      </c>
      <c r="Q36" s="566">
        <f>-'Otros Gastos'!R38</f>
        <v>0</v>
      </c>
      <c r="R36" s="566">
        <f>-'Otros Gastos'!S38</f>
        <v>0</v>
      </c>
      <c r="S36" s="566">
        <f>-'Otros Gastos'!T38</f>
        <v>0</v>
      </c>
      <c r="T36" s="566">
        <f>-'Otros Gastos'!U38</f>
        <v>0</v>
      </c>
      <c r="U36" s="566">
        <f>-'Otros Gastos'!V38</f>
        <v>0</v>
      </c>
      <c r="V36" s="566">
        <f>-'Otros Gastos'!W38</f>
        <v>0</v>
      </c>
      <c r="W36" s="566">
        <f>-'Otros Gastos'!X38</f>
        <v>0</v>
      </c>
      <c r="X36" s="566">
        <f>-'Otros Gastos'!Y38</f>
        <v>0</v>
      </c>
      <c r="Y36" s="566">
        <f>-'Otros Gastos'!Z38</f>
        <v>0</v>
      </c>
      <c r="Z36" s="566">
        <f>-'Otros Gastos'!AA38</f>
        <v>0</v>
      </c>
      <c r="AA36" s="566">
        <f>-'Otros Gastos'!AB38</f>
        <v>0</v>
      </c>
      <c r="AB36" s="566">
        <f>-'Otros Gastos'!AC38</f>
        <v>0</v>
      </c>
      <c r="AC36" s="566">
        <f>-'Otros Gastos'!AD38</f>
        <v>0</v>
      </c>
      <c r="AD36" s="566">
        <f>-'Otros Gastos'!AE38</f>
        <v>0</v>
      </c>
      <c r="AE36" s="566">
        <f>-'Otros Gastos'!AF38</f>
        <v>0</v>
      </c>
      <c r="AF36" s="566">
        <f>-'Otros Gastos'!AG38</f>
        <v>0</v>
      </c>
      <c r="AG36" s="566">
        <f>-'Otros Gastos'!AH38</f>
        <v>0</v>
      </c>
      <c r="AH36" s="566">
        <f>-'Otros Gastos'!AI38</f>
        <v>0</v>
      </c>
      <c r="AI36" s="566">
        <f>-'Otros Gastos'!AJ38</f>
        <v>0</v>
      </c>
      <c r="AJ36" s="566">
        <f>-'Otros Gastos'!AK38</f>
        <v>0</v>
      </c>
      <c r="AK36" s="566">
        <f>-'Otros Gastos'!AL38</f>
        <v>0</v>
      </c>
      <c r="AL36" s="566">
        <f>-'Otros Gastos'!AM38</f>
        <v>0</v>
      </c>
    </row>
    <row r="37" spans="2:38" ht="15.75">
      <c r="B37" s="5" t="s">
        <v>195</v>
      </c>
      <c r="C37" s="566">
        <f ca="1">-'Otros Gastos'!D39</f>
        <v>0</v>
      </c>
      <c r="D37" s="566">
        <f ca="1">-'Otros Gastos'!E39</f>
        <v>0</v>
      </c>
      <c r="E37" s="566">
        <f ca="1">-'Otros Gastos'!F39</f>
        <v>0</v>
      </c>
      <c r="F37" s="566">
        <f ca="1">-'Otros Gastos'!G39</f>
        <v>0</v>
      </c>
      <c r="G37" s="566">
        <f ca="1">-'Otros Gastos'!H39</f>
        <v>0</v>
      </c>
      <c r="H37" s="566">
        <f ca="1">-'Otros Gastos'!I39</f>
        <v>0</v>
      </c>
      <c r="I37" s="566">
        <f ca="1">-'Otros Gastos'!J39</f>
        <v>0</v>
      </c>
      <c r="J37" s="566">
        <f ca="1">-'Otros Gastos'!K39</f>
        <v>0</v>
      </c>
      <c r="K37" s="566">
        <f ca="1">-'Otros Gastos'!L39</f>
        <v>0</v>
      </c>
      <c r="L37" s="566">
        <f ca="1">-'Otros Gastos'!M39</f>
        <v>0</v>
      </c>
      <c r="M37" s="566">
        <f ca="1">-'Otros Gastos'!N39</f>
        <v>0</v>
      </c>
      <c r="N37" s="566">
        <f ca="1">-'Otros Gastos'!O39</f>
        <v>0</v>
      </c>
      <c r="O37" s="566">
        <f ca="1">-'Otros Gastos'!P39</f>
        <v>0</v>
      </c>
      <c r="P37" s="566">
        <f ca="1">-'Otros Gastos'!Q39</f>
        <v>0</v>
      </c>
      <c r="Q37" s="566">
        <f ca="1">-'Otros Gastos'!R39</f>
        <v>0</v>
      </c>
      <c r="R37" s="566">
        <f ca="1">-'Otros Gastos'!S39</f>
        <v>0</v>
      </c>
      <c r="S37" s="566">
        <f ca="1">-'Otros Gastos'!T39</f>
        <v>0</v>
      </c>
      <c r="T37" s="566">
        <f ca="1">-'Otros Gastos'!U39</f>
        <v>0</v>
      </c>
      <c r="U37" s="566">
        <f ca="1">-'Otros Gastos'!V39</f>
        <v>0</v>
      </c>
      <c r="V37" s="566">
        <f ca="1">-'Otros Gastos'!W39</f>
        <v>0</v>
      </c>
      <c r="W37" s="566">
        <f ca="1">-'Otros Gastos'!X39</f>
        <v>0</v>
      </c>
      <c r="X37" s="566">
        <f ca="1">-'Otros Gastos'!Y39</f>
        <v>0</v>
      </c>
      <c r="Y37" s="566">
        <f ca="1">-'Otros Gastos'!Z39</f>
        <v>0</v>
      </c>
      <c r="Z37" s="566">
        <f ca="1">-'Otros Gastos'!AA39</f>
        <v>0</v>
      </c>
      <c r="AA37" s="566">
        <f ca="1">-'Otros Gastos'!AB39</f>
        <v>0</v>
      </c>
      <c r="AB37" s="566">
        <f ca="1">-'Otros Gastos'!AC39</f>
        <v>0</v>
      </c>
      <c r="AC37" s="566">
        <f ca="1">-'Otros Gastos'!AD39</f>
        <v>0</v>
      </c>
      <c r="AD37" s="566">
        <f ca="1">-'Otros Gastos'!AE39</f>
        <v>0</v>
      </c>
      <c r="AE37" s="566">
        <f ca="1">-'Otros Gastos'!AF39</f>
        <v>0</v>
      </c>
      <c r="AF37" s="566">
        <f ca="1">-'Otros Gastos'!AG39</f>
        <v>0</v>
      </c>
      <c r="AG37" s="566">
        <f ca="1">-'Otros Gastos'!AH39</f>
        <v>0</v>
      </c>
      <c r="AH37" s="566">
        <f ca="1">-'Otros Gastos'!AI39</f>
        <v>0</v>
      </c>
      <c r="AI37" s="566">
        <f ca="1">-'Otros Gastos'!AJ39</f>
        <v>0</v>
      </c>
      <c r="AJ37" s="566">
        <f ca="1">-'Otros Gastos'!AK39</f>
        <v>0</v>
      </c>
      <c r="AK37" s="566">
        <f ca="1">-'Otros Gastos'!AL39</f>
        <v>0</v>
      </c>
      <c r="AL37" s="566">
        <f ca="1">-'Otros Gastos'!AM39</f>
        <v>0</v>
      </c>
    </row>
    <row r="38" spans="2:38" ht="3.75" customHeight="1"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80"/>
      <c r="AI38" s="280"/>
      <c r="AJ38" s="280"/>
      <c r="AK38" s="280"/>
      <c r="AL38" s="280"/>
    </row>
    <row r="39" spans="2:38" s="100" customFormat="1" ht="15.75">
      <c r="B39" s="100" t="s">
        <v>196</v>
      </c>
      <c r="C39" s="567">
        <f ca="1">+C34+C36+C37</f>
        <v>0</v>
      </c>
      <c r="D39" s="567">
        <f t="shared" ref="D39:AL39" ca="1" si="5">+D34+D36+D37</f>
        <v>0</v>
      </c>
      <c r="E39" s="567">
        <f t="shared" ca="1" si="5"/>
        <v>0</v>
      </c>
      <c r="F39" s="567">
        <f t="shared" ca="1" si="5"/>
        <v>0</v>
      </c>
      <c r="G39" s="567">
        <f t="shared" ca="1" si="5"/>
        <v>0</v>
      </c>
      <c r="H39" s="567">
        <f t="shared" ca="1" si="5"/>
        <v>0</v>
      </c>
      <c r="I39" s="567">
        <f t="shared" ca="1" si="5"/>
        <v>0</v>
      </c>
      <c r="J39" s="567">
        <f t="shared" ca="1" si="5"/>
        <v>0</v>
      </c>
      <c r="K39" s="567">
        <f t="shared" ca="1" si="5"/>
        <v>0</v>
      </c>
      <c r="L39" s="567">
        <f t="shared" ca="1" si="5"/>
        <v>0</v>
      </c>
      <c r="M39" s="567">
        <f t="shared" ca="1" si="5"/>
        <v>0</v>
      </c>
      <c r="N39" s="567">
        <f t="shared" ca="1" si="5"/>
        <v>0</v>
      </c>
      <c r="O39" s="567">
        <f t="shared" ca="1" si="5"/>
        <v>0</v>
      </c>
      <c r="P39" s="567">
        <f t="shared" ca="1" si="5"/>
        <v>0</v>
      </c>
      <c r="Q39" s="567">
        <f t="shared" ca="1" si="5"/>
        <v>0</v>
      </c>
      <c r="R39" s="567">
        <f t="shared" ca="1" si="5"/>
        <v>0</v>
      </c>
      <c r="S39" s="567">
        <f t="shared" ca="1" si="5"/>
        <v>0</v>
      </c>
      <c r="T39" s="567">
        <f t="shared" ca="1" si="5"/>
        <v>0</v>
      </c>
      <c r="U39" s="567">
        <f t="shared" ca="1" si="5"/>
        <v>0</v>
      </c>
      <c r="V39" s="567">
        <f t="shared" ca="1" si="5"/>
        <v>0</v>
      </c>
      <c r="W39" s="567">
        <f t="shared" ca="1" si="5"/>
        <v>0</v>
      </c>
      <c r="X39" s="567">
        <f t="shared" ca="1" si="5"/>
        <v>0</v>
      </c>
      <c r="Y39" s="567">
        <f t="shared" ca="1" si="5"/>
        <v>0</v>
      </c>
      <c r="Z39" s="567">
        <f t="shared" ca="1" si="5"/>
        <v>0</v>
      </c>
      <c r="AA39" s="567">
        <f t="shared" ca="1" si="5"/>
        <v>0</v>
      </c>
      <c r="AB39" s="567">
        <f t="shared" ca="1" si="5"/>
        <v>0</v>
      </c>
      <c r="AC39" s="567">
        <f t="shared" ca="1" si="5"/>
        <v>0</v>
      </c>
      <c r="AD39" s="567">
        <f t="shared" ca="1" si="5"/>
        <v>0</v>
      </c>
      <c r="AE39" s="567">
        <f t="shared" ca="1" si="5"/>
        <v>0</v>
      </c>
      <c r="AF39" s="567">
        <f t="shared" ca="1" si="5"/>
        <v>0</v>
      </c>
      <c r="AG39" s="567">
        <f t="shared" ca="1" si="5"/>
        <v>0</v>
      </c>
      <c r="AH39" s="567">
        <f t="shared" ca="1" si="5"/>
        <v>0</v>
      </c>
      <c r="AI39" s="567">
        <f t="shared" ca="1" si="5"/>
        <v>0</v>
      </c>
      <c r="AJ39" s="567">
        <f t="shared" ca="1" si="5"/>
        <v>0</v>
      </c>
      <c r="AK39" s="567">
        <f t="shared" ca="1" si="5"/>
        <v>0</v>
      </c>
      <c r="AL39" s="567">
        <f t="shared" ca="1" si="5"/>
        <v>0</v>
      </c>
    </row>
    <row r="40" spans="2:38" ht="6.75" customHeight="1"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</row>
    <row r="41" spans="2:38" ht="15.75">
      <c r="B41" s="280" t="str">
        <f>"Impuestos -"&amp;'Otros Gastos'!B45</f>
        <v>Impuestos -</v>
      </c>
      <c r="C41" s="566">
        <f ca="1">-SUM('Otros Gastos'!D45:D46)</f>
        <v>0</v>
      </c>
      <c r="D41" s="566">
        <f ca="1">-SUM('Otros Gastos'!E45:E46)</f>
        <v>0</v>
      </c>
      <c r="E41" s="566">
        <f ca="1">-SUM('Otros Gastos'!F45:F46)</f>
        <v>0</v>
      </c>
      <c r="F41" s="566">
        <f ca="1">-SUM('Otros Gastos'!G45:G46)</f>
        <v>0</v>
      </c>
      <c r="G41" s="566">
        <f ca="1">-SUM('Otros Gastos'!H45:H46)</f>
        <v>0</v>
      </c>
      <c r="H41" s="566">
        <f ca="1">-SUM('Otros Gastos'!I45:I46)</f>
        <v>0</v>
      </c>
      <c r="I41" s="566">
        <f ca="1">-SUM('Otros Gastos'!J45:J46)</f>
        <v>0</v>
      </c>
      <c r="J41" s="566">
        <f ca="1">-SUM('Otros Gastos'!K45:K46)</f>
        <v>0</v>
      </c>
      <c r="K41" s="566">
        <f ca="1">-SUM('Otros Gastos'!L45:L46)</f>
        <v>0</v>
      </c>
      <c r="L41" s="566">
        <f ca="1">-SUM('Otros Gastos'!M45:M46)</f>
        <v>0</v>
      </c>
      <c r="M41" s="566">
        <f ca="1">-SUM('Otros Gastos'!N45:N46)</f>
        <v>0</v>
      </c>
      <c r="N41" s="566">
        <f ca="1">-SUM('Otros Gastos'!O45:O46)</f>
        <v>0</v>
      </c>
      <c r="O41" s="566">
        <f ca="1">-SUM('Otros Gastos'!P45:P46)</f>
        <v>0</v>
      </c>
      <c r="P41" s="566">
        <f ca="1">-SUM('Otros Gastos'!Q45:Q46)</f>
        <v>0</v>
      </c>
      <c r="Q41" s="566">
        <f ca="1">-SUM('Otros Gastos'!R45:R46)</f>
        <v>0</v>
      </c>
      <c r="R41" s="566">
        <f ca="1">-SUM('Otros Gastos'!S45:S46)</f>
        <v>0</v>
      </c>
      <c r="S41" s="566">
        <f ca="1">-SUM('Otros Gastos'!T45:T46)</f>
        <v>0</v>
      </c>
      <c r="T41" s="566">
        <f ca="1">-SUM('Otros Gastos'!U45:U46)</f>
        <v>0</v>
      </c>
      <c r="U41" s="566">
        <f ca="1">-SUM('Otros Gastos'!V45:V46)</f>
        <v>0</v>
      </c>
      <c r="V41" s="566">
        <f ca="1">-SUM('Otros Gastos'!W45:W46)</f>
        <v>0</v>
      </c>
      <c r="W41" s="566">
        <f ca="1">-SUM('Otros Gastos'!X45:X46)</f>
        <v>0</v>
      </c>
      <c r="X41" s="566">
        <f ca="1">-SUM('Otros Gastos'!Y45:Y46)</f>
        <v>0</v>
      </c>
      <c r="Y41" s="566">
        <f ca="1">-SUM('Otros Gastos'!Z45:Z46)</f>
        <v>0</v>
      </c>
      <c r="Z41" s="566">
        <f ca="1">-SUM('Otros Gastos'!AA45:AA46)</f>
        <v>0</v>
      </c>
      <c r="AA41" s="566">
        <f ca="1">-SUM('Otros Gastos'!AB45:AB46)</f>
        <v>0</v>
      </c>
      <c r="AB41" s="566">
        <f ca="1">-SUM('Otros Gastos'!AC45:AC46)</f>
        <v>0</v>
      </c>
      <c r="AC41" s="566">
        <f ca="1">-SUM('Otros Gastos'!AD45:AD46)</f>
        <v>0</v>
      </c>
      <c r="AD41" s="566">
        <f ca="1">-SUM('Otros Gastos'!AE45:AE46)</f>
        <v>0</v>
      </c>
      <c r="AE41" s="566">
        <f ca="1">-SUM('Otros Gastos'!AF45:AF46)</f>
        <v>0</v>
      </c>
      <c r="AF41" s="566">
        <f ca="1">-SUM('Otros Gastos'!AG45:AG46)</f>
        <v>0</v>
      </c>
      <c r="AG41" s="566">
        <f ca="1">-SUM('Otros Gastos'!AH45:AH46)</f>
        <v>0</v>
      </c>
      <c r="AH41" s="566">
        <f ca="1">-SUM('Otros Gastos'!AI45:AI46)</f>
        <v>0</v>
      </c>
      <c r="AI41" s="566">
        <f ca="1">-SUM('Otros Gastos'!AJ45:AJ46)</f>
        <v>0</v>
      </c>
      <c r="AJ41" s="566">
        <f ca="1">-SUM('Otros Gastos'!AK45:AK46)</f>
        <v>0</v>
      </c>
      <c r="AK41" s="566">
        <f ca="1">-SUM('Otros Gastos'!AL45:AL46)</f>
        <v>0</v>
      </c>
      <c r="AL41" s="566">
        <f ca="1">-SUM('Otros Gastos'!AM45:AM46)</f>
        <v>0</v>
      </c>
    </row>
    <row r="42" spans="2:38" ht="6.75" customHeight="1">
      <c r="B42" s="280"/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</row>
    <row r="43" spans="2:38" ht="15.75">
      <c r="B43" s="315" t="s">
        <v>550</v>
      </c>
      <c r="C43" s="567">
        <f ca="1">C39+C41</f>
        <v>0</v>
      </c>
      <c r="D43" s="567">
        <f t="shared" ref="D43:AL43" ca="1" si="6">D39+D41</f>
        <v>0</v>
      </c>
      <c r="E43" s="567">
        <f t="shared" ca="1" si="6"/>
        <v>0</v>
      </c>
      <c r="F43" s="567">
        <f t="shared" ca="1" si="6"/>
        <v>0</v>
      </c>
      <c r="G43" s="567">
        <f t="shared" ca="1" si="6"/>
        <v>0</v>
      </c>
      <c r="H43" s="567">
        <f t="shared" ca="1" si="6"/>
        <v>0</v>
      </c>
      <c r="I43" s="567">
        <f t="shared" ca="1" si="6"/>
        <v>0</v>
      </c>
      <c r="J43" s="567">
        <f t="shared" ca="1" si="6"/>
        <v>0</v>
      </c>
      <c r="K43" s="567">
        <f t="shared" ca="1" si="6"/>
        <v>0</v>
      </c>
      <c r="L43" s="567">
        <f t="shared" ca="1" si="6"/>
        <v>0</v>
      </c>
      <c r="M43" s="567">
        <f t="shared" ca="1" si="6"/>
        <v>0</v>
      </c>
      <c r="N43" s="567">
        <f t="shared" ca="1" si="6"/>
        <v>0</v>
      </c>
      <c r="O43" s="567">
        <f t="shared" ca="1" si="6"/>
        <v>0</v>
      </c>
      <c r="P43" s="567">
        <f t="shared" ca="1" si="6"/>
        <v>0</v>
      </c>
      <c r="Q43" s="567">
        <f t="shared" ca="1" si="6"/>
        <v>0</v>
      </c>
      <c r="R43" s="567">
        <f t="shared" ca="1" si="6"/>
        <v>0</v>
      </c>
      <c r="S43" s="567">
        <f t="shared" ca="1" si="6"/>
        <v>0</v>
      </c>
      <c r="T43" s="567">
        <f t="shared" ca="1" si="6"/>
        <v>0</v>
      </c>
      <c r="U43" s="567">
        <f t="shared" ca="1" si="6"/>
        <v>0</v>
      </c>
      <c r="V43" s="567">
        <f t="shared" ca="1" si="6"/>
        <v>0</v>
      </c>
      <c r="W43" s="567">
        <f t="shared" ca="1" si="6"/>
        <v>0</v>
      </c>
      <c r="X43" s="567">
        <f t="shared" ca="1" si="6"/>
        <v>0</v>
      </c>
      <c r="Y43" s="567">
        <f t="shared" ca="1" si="6"/>
        <v>0</v>
      </c>
      <c r="Z43" s="567">
        <f t="shared" ca="1" si="6"/>
        <v>0</v>
      </c>
      <c r="AA43" s="567">
        <f t="shared" ca="1" si="6"/>
        <v>0</v>
      </c>
      <c r="AB43" s="567">
        <f t="shared" ca="1" si="6"/>
        <v>0</v>
      </c>
      <c r="AC43" s="567">
        <f t="shared" ca="1" si="6"/>
        <v>0</v>
      </c>
      <c r="AD43" s="567">
        <f t="shared" ca="1" si="6"/>
        <v>0</v>
      </c>
      <c r="AE43" s="567">
        <f t="shared" ca="1" si="6"/>
        <v>0</v>
      </c>
      <c r="AF43" s="567">
        <f t="shared" ca="1" si="6"/>
        <v>0</v>
      </c>
      <c r="AG43" s="567">
        <f t="shared" ca="1" si="6"/>
        <v>0</v>
      </c>
      <c r="AH43" s="567">
        <f t="shared" ca="1" si="6"/>
        <v>0</v>
      </c>
      <c r="AI43" s="567">
        <f t="shared" ca="1" si="6"/>
        <v>0</v>
      </c>
      <c r="AJ43" s="567">
        <f t="shared" ca="1" si="6"/>
        <v>0</v>
      </c>
      <c r="AK43" s="567">
        <f t="shared" ca="1" si="6"/>
        <v>0</v>
      </c>
      <c r="AL43" s="567">
        <f t="shared" ca="1" si="6"/>
        <v>0</v>
      </c>
    </row>
    <row r="44" spans="2:38" ht="9" customHeight="1">
      <c r="B44" s="315"/>
      <c r="C44" s="567"/>
      <c r="D44" s="567"/>
      <c r="E44" s="567"/>
      <c r="F44" s="567"/>
      <c r="G44" s="567"/>
      <c r="H44" s="567"/>
      <c r="I44" s="567"/>
      <c r="J44" s="567"/>
      <c r="K44" s="567"/>
      <c r="L44" s="567"/>
      <c r="M44" s="567"/>
      <c r="N44" s="567"/>
      <c r="O44" s="567"/>
      <c r="P44" s="567"/>
      <c r="Q44" s="567"/>
      <c r="R44" s="567"/>
      <c r="S44" s="567"/>
      <c r="T44" s="567"/>
      <c r="U44" s="567"/>
      <c r="V44" s="567"/>
      <c r="W44" s="567"/>
      <c r="X44" s="567"/>
      <c r="Y44" s="567"/>
      <c r="Z44" s="567"/>
      <c r="AA44" s="567"/>
      <c r="AB44" s="567"/>
      <c r="AC44" s="567"/>
      <c r="AD44" s="567"/>
      <c r="AE44" s="567"/>
      <c r="AF44" s="567"/>
      <c r="AG44" s="567"/>
      <c r="AH44" s="567"/>
      <c r="AI44" s="567"/>
      <c r="AJ44" s="567"/>
      <c r="AK44" s="567"/>
      <c r="AL44" s="567"/>
    </row>
    <row r="45" spans="2:38" ht="15.75">
      <c r="B45" s="282" t="s">
        <v>197</v>
      </c>
      <c r="C45" s="312">
        <f ca="1">+C43</f>
        <v>0</v>
      </c>
      <c r="D45" s="312">
        <f ca="1">+C45+D43</f>
        <v>0</v>
      </c>
      <c r="E45" s="312">
        <f t="shared" ref="E45:AL45" ca="1" si="7">+D45+E43</f>
        <v>0</v>
      </c>
      <c r="F45" s="312">
        <f t="shared" ca="1" si="7"/>
        <v>0</v>
      </c>
      <c r="G45" s="312">
        <f t="shared" ca="1" si="7"/>
        <v>0</v>
      </c>
      <c r="H45" s="312">
        <f t="shared" ca="1" si="7"/>
        <v>0</v>
      </c>
      <c r="I45" s="312">
        <f t="shared" ca="1" si="7"/>
        <v>0</v>
      </c>
      <c r="J45" s="312">
        <f t="shared" ca="1" si="7"/>
        <v>0</v>
      </c>
      <c r="K45" s="312">
        <f t="shared" ca="1" si="7"/>
        <v>0</v>
      </c>
      <c r="L45" s="312">
        <f t="shared" ca="1" si="7"/>
        <v>0</v>
      </c>
      <c r="M45" s="312">
        <f t="shared" ca="1" si="7"/>
        <v>0</v>
      </c>
      <c r="N45" s="312">
        <f t="shared" ca="1" si="7"/>
        <v>0</v>
      </c>
      <c r="O45" s="312">
        <f t="shared" ca="1" si="7"/>
        <v>0</v>
      </c>
      <c r="P45" s="312">
        <f t="shared" ca="1" si="7"/>
        <v>0</v>
      </c>
      <c r="Q45" s="312">
        <f t="shared" ca="1" si="7"/>
        <v>0</v>
      </c>
      <c r="R45" s="312">
        <f t="shared" ca="1" si="7"/>
        <v>0</v>
      </c>
      <c r="S45" s="312">
        <f t="shared" ca="1" si="7"/>
        <v>0</v>
      </c>
      <c r="T45" s="312">
        <f t="shared" ca="1" si="7"/>
        <v>0</v>
      </c>
      <c r="U45" s="312">
        <f t="shared" ca="1" si="7"/>
        <v>0</v>
      </c>
      <c r="V45" s="312">
        <f t="shared" ca="1" si="7"/>
        <v>0</v>
      </c>
      <c r="W45" s="312">
        <f t="shared" ca="1" si="7"/>
        <v>0</v>
      </c>
      <c r="X45" s="312">
        <f t="shared" ca="1" si="7"/>
        <v>0</v>
      </c>
      <c r="Y45" s="312">
        <f t="shared" ca="1" si="7"/>
        <v>0</v>
      </c>
      <c r="Z45" s="312">
        <f t="shared" ca="1" si="7"/>
        <v>0</v>
      </c>
      <c r="AA45" s="312">
        <f t="shared" ca="1" si="7"/>
        <v>0</v>
      </c>
      <c r="AB45" s="312">
        <f t="shared" ca="1" si="7"/>
        <v>0</v>
      </c>
      <c r="AC45" s="312">
        <f t="shared" ca="1" si="7"/>
        <v>0</v>
      </c>
      <c r="AD45" s="312">
        <f t="shared" ca="1" si="7"/>
        <v>0</v>
      </c>
      <c r="AE45" s="312">
        <f t="shared" ca="1" si="7"/>
        <v>0</v>
      </c>
      <c r="AF45" s="312">
        <f t="shared" ca="1" si="7"/>
        <v>0</v>
      </c>
      <c r="AG45" s="312">
        <f t="shared" ca="1" si="7"/>
        <v>0</v>
      </c>
      <c r="AH45" s="312">
        <f t="shared" ca="1" si="7"/>
        <v>0</v>
      </c>
      <c r="AI45" s="312">
        <f t="shared" ca="1" si="7"/>
        <v>0</v>
      </c>
      <c r="AJ45" s="312">
        <f t="shared" ca="1" si="7"/>
        <v>0</v>
      </c>
      <c r="AK45" s="312">
        <f t="shared" ca="1" si="7"/>
        <v>0</v>
      </c>
      <c r="AL45" s="312">
        <f t="shared" ca="1" si="7"/>
        <v>0</v>
      </c>
    </row>
  </sheetData>
  <sheetProtection sheet="1" objects="1" scenarios="1"/>
  <mergeCells count="3">
    <mergeCell ref="C1:N1"/>
    <mergeCell ref="O1:Z1"/>
    <mergeCell ref="AA1:AL1"/>
  </mergeCells>
  <conditionalFormatting sqref="B46:B1048576 B1:B40">
    <cfRule type="cellIs" dxfId="343" priority="8" operator="equal">
      <formula>0</formula>
    </cfRule>
  </conditionalFormatting>
  <conditionalFormatting sqref="A1:XFD3 A46:XFD1048576 A41:A45 AM4:XFD45 A4:B40">
    <cfRule type="cellIs" dxfId="342" priority="7" operator="equal">
      <formula>0</formula>
    </cfRule>
  </conditionalFormatting>
  <conditionalFormatting sqref="C1:AL3 C46:AL1048576">
    <cfRule type="cellIs" dxfId="341" priority="6" operator="equal">
      <formula>0</formula>
    </cfRule>
  </conditionalFormatting>
  <conditionalFormatting sqref="B41:B45">
    <cfRule type="cellIs" dxfId="340" priority="5" operator="equal">
      <formula>0</formula>
    </cfRule>
  </conditionalFormatting>
  <conditionalFormatting sqref="C4:AL45">
    <cfRule type="cellIs" dxfId="339" priority="2" operator="equal">
      <formula>0</formula>
    </cfRule>
  </conditionalFormatting>
  <conditionalFormatting sqref="C4:AL45">
    <cfRule type="cellIs" dxfId="338" priority="1" operator="equal">
      <formula>0</formula>
    </cfRule>
  </conditionalFormatting>
  <pageMargins left="0.7" right="0.7" top="0.75" bottom="0.75" header="0.3" footer="0.3"/>
  <pageSetup paperSize="9" scale="50" orientation="portrait" r:id="rId1"/>
  <colBreaks count="2" manualBreakCount="2">
    <brk id="14" max="1048575" man="1"/>
    <brk id="26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tabColor rgb="FFFFC000"/>
  </sheetPr>
  <dimension ref="B1:AO56"/>
  <sheetViews>
    <sheetView zoomScaleNormal="100" workbookViewId="0">
      <pane xSplit="2" ySplit="2" topLeftCell="C3" activePane="bottomRight" state="frozen"/>
      <selection activeCell="D22" sqref="D22"/>
      <selection pane="topRight" activeCell="D22" sqref="D22"/>
      <selection pane="bottomLeft" activeCell="D22" sqref="D22"/>
      <selection pane="bottomRight"/>
    </sheetView>
  </sheetViews>
  <sheetFormatPr baseColWidth="10" defaultColWidth="11.42578125" defaultRowHeight="18.75" outlineLevelRow="1"/>
  <cols>
    <col min="1" max="1" width="11.42578125" style="117"/>
    <col min="2" max="2" width="37.28515625" style="33" bestFit="1" customWidth="1"/>
    <col min="3" max="3" width="12" style="117" customWidth="1"/>
    <col min="4" max="4" width="10.85546875" style="117" customWidth="1"/>
    <col min="5" max="9" width="10.5703125" style="117" bestFit="1" customWidth="1"/>
    <col min="10" max="16384" width="11.42578125" style="117"/>
  </cols>
  <sheetData>
    <row r="1" spans="2:39" ht="30.75" customHeight="1">
      <c r="B1" s="118"/>
      <c r="C1" s="1268">
        <f>+'Resultados mensuales '!C1:N1</f>
        <v>2021</v>
      </c>
      <c r="D1" s="1268"/>
      <c r="E1" s="1268"/>
      <c r="F1" s="1268"/>
      <c r="G1" s="1268"/>
      <c r="H1" s="1268"/>
      <c r="I1" s="1268"/>
      <c r="J1" s="1268"/>
      <c r="K1" s="1268"/>
      <c r="L1" s="1268"/>
      <c r="M1" s="1268"/>
      <c r="N1" s="1268"/>
      <c r="O1" s="1269">
        <f>+'Resultados mensuales '!O1:Z1</f>
        <v>2022</v>
      </c>
      <c r="P1" s="1270"/>
      <c r="Q1" s="1270"/>
      <c r="R1" s="1270"/>
      <c r="S1" s="1270"/>
      <c r="T1" s="1270"/>
      <c r="U1" s="1270"/>
      <c r="V1" s="1270"/>
      <c r="W1" s="1270"/>
      <c r="X1" s="1270"/>
      <c r="Y1" s="1270"/>
      <c r="Z1" s="1271"/>
      <c r="AA1" s="1272">
        <f>+'Resultados mensuales '!AA1:AL1</f>
        <v>2023</v>
      </c>
      <c r="AB1" s="1272"/>
      <c r="AC1" s="1272"/>
      <c r="AD1" s="1272"/>
      <c r="AE1" s="1272"/>
      <c r="AF1" s="1272"/>
      <c r="AG1" s="1272"/>
      <c r="AH1" s="1272"/>
      <c r="AI1" s="1272"/>
      <c r="AJ1" s="1272"/>
      <c r="AK1" s="1272"/>
      <c r="AL1" s="1273"/>
    </row>
    <row r="2" spans="2:39" s="121" customFormat="1" ht="18.75" customHeight="1">
      <c r="B2" s="120"/>
      <c r="C2" s="15">
        <f>+Cuestionario!$C$11</f>
        <v>44197</v>
      </c>
      <c r="D2" s="15">
        <f>EDATE(C2,1)</f>
        <v>44228</v>
      </c>
      <c r="E2" s="15">
        <f t="shared" ref="E2:N2" si="0">EDATE(D2,1)</f>
        <v>44256</v>
      </c>
      <c r="F2" s="15">
        <f t="shared" si="0"/>
        <v>44287</v>
      </c>
      <c r="G2" s="15">
        <f t="shared" si="0"/>
        <v>44317</v>
      </c>
      <c r="H2" s="15">
        <f t="shared" si="0"/>
        <v>44348</v>
      </c>
      <c r="I2" s="15">
        <f t="shared" si="0"/>
        <v>44378</v>
      </c>
      <c r="J2" s="15">
        <f t="shared" si="0"/>
        <v>44409</v>
      </c>
      <c r="K2" s="15">
        <f t="shared" si="0"/>
        <v>44440</v>
      </c>
      <c r="L2" s="15">
        <f t="shared" si="0"/>
        <v>44470</v>
      </c>
      <c r="M2" s="15">
        <f t="shared" si="0"/>
        <v>44501</v>
      </c>
      <c r="N2" s="70">
        <f t="shared" si="0"/>
        <v>44531</v>
      </c>
      <c r="O2" s="148">
        <f>EDATE(N2,1)</f>
        <v>44562</v>
      </c>
      <c r="P2" s="73">
        <f t="shared" ref="P2:AL2" si="1">EDATE(O2,1)</f>
        <v>44593</v>
      </c>
      <c r="Q2" s="73">
        <f t="shared" si="1"/>
        <v>44621</v>
      </c>
      <c r="R2" s="73">
        <f t="shared" si="1"/>
        <v>44652</v>
      </c>
      <c r="S2" s="73">
        <f t="shared" si="1"/>
        <v>44682</v>
      </c>
      <c r="T2" s="73">
        <f t="shared" si="1"/>
        <v>44713</v>
      </c>
      <c r="U2" s="73">
        <f t="shared" si="1"/>
        <v>44743</v>
      </c>
      <c r="V2" s="73">
        <f t="shared" si="1"/>
        <v>44774</v>
      </c>
      <c r="W2" s="73">
        <f t="shared" si="1"/>
        <v>44805</v>
      </c>
      <c r="X2" s="73">
        <f t="shared" si="1"/>
        <v>44835</v>
      </c>
      <c r="Y2" s="73">
        <f t="shared" si="1"/>
        <v>44866</v>
      </c>
      <c r="Z2" s="149">
        <f t="shared" si="1"/>
        <v>44896</v>
      </c>
      <c r="AA2" s="71">
        <f t="shared" si="1"/>
        <v>44927</v>
      </c>
      <c r="AB2" s="15">
        <f t="shared" si="1"/>
        <v>44958</v>
      </c>
      <c r="AC2" s="15">
        <f t="shared" si="1"/>
        <v>44986</v>
      </c>
      <c r="AD2" s="15">
        <f t="shared" si="1"/>
        <v>45017</v>
      </c>
      <c r="AE2" s="15">
        <f t="shared" si="1"/>
        <v>45047</v>
      </c>
      <c r="AF2" s="15">
        <f t="shared" si="1"/>
        <v>45078</v>
      </c>
      <c r="AG2" s="15">
        <f t="shared" si="1"/>
        <v>45108</v>
      </c>
      <c r="AH2" s="15">
        <f t="shared" si="1"/>
        <v>45139</v>
      </c>
      <c r="AI2" s="15">
        <f t="shared" si="1"/>
        <v>45170</v>
      </c>
      <c r="AJ2" s="15">
        <f t="shared" si="1"/>
        <v>45200</v>
      </c>
      <c r="AK2" s="15">
        <f t="shared" si="1"/>
        <v>45231</v>
      </c>
      <c r="AL2" s="399">
        <f t="shared" si="1"/>
        <v>45261</v>
      </c>
    </row>
    <row r="3" spans="2:39">
      <c r="B3" s="33" t="s">
        <v>205</v>
      </c>
      <c r="C3" s="548">
        <f>+'Inversión-Financiación'!G38</f>
        <v>0</v>
      </c>
      <c r="D3" s="295">
        <f>+'Inversión-Financiación'!H38</f>
        <v>0</v>
      </c>
      <c r="E3" s="295">
        <f>+'Inversión-Financiación'!I38</f>
        <v>0</v>
      </c>
      <c r="F3" s="295">
        <f>+'Inversión-Financiación'!J38</f>
        <v>0</v>
      </c>
      <c r="G3" s="295">
        <f>+'Inversión-Financiación'!K38</f>
        <v>0</v>
      </c>
      <c r="H3" s="295">
        <f>+'Inversión-Financiación'!L38</f>
        <v>0</v>
      </c>
      <c r="I3" s="295">
        <f>+'Inversión-Financiación'!M38</f>
        <v>0</v>
      </c>
      <c r="J3" s="295">
        <f>+'Inversión-Financiación'!N38</f>
        <v>0</v>
      </c>
      <c r="K3" s="295">
        <f>+'Inversión-Financiación'!O38</f>
        <v>0</v>
      </c>
      <c r="L3" s="295">
        <f>+'Inversión-Financiación'!P38</f>
        <v>0</v>
      </c>
      <c r="M3" s="295">
        <f>+'Inversión-Financiación'!Q38</f>
        <v>0</v>
      </c>
      <c r="N3" s="549">
        <f>+'Inversión-Financiación'!R38</f>
        <v>0</v>
      </c>
      <c r="O3" s="550">
        <f>+'Inversión-Financiación'!S38</f>
        <v>0</v>
      </c>
      <c r="P3" s="295">
        <f>+'Inversión-Financiación'!T38</f>
        <v>0</v>
      </c>
      <c r="Q3" s="295">
        <f>+'Inversión-Financiación'!U38</f>
        <v>0</v>
      </c>
      <c r="R3" s="295">
        <f>+'Inversión-Financiación'!V38</f>
        <v>0</v>
      </c>
      <c r="S3" s="295">
        <f>+'Inversión-Financiación'!W38</f>
        <v>0</v>
      </c>
      <c r="T3" s="295">
        <f>+'Inversión-Financiación'!X38</f>
        <v>0</v>
      </c>
      <c r="U3" s="295">
        <f>+'Inversión-Financiación'!Y38</f>
        <v>0</v>
      </c>
      <c r="V3" s="295">
        <f>+'Inversión-Financiación'!Z38</f>
        <v>0</v>
      </c>
      <c r="W3" s="295">
        <f>+'Inversión-Financiación'!AA38</f>
        <v>0</v>
      </c>
      <c r="X3" s="295">
        <f>+'Inversión-Financiación'!AB38</f>
        <v>0</v>
      </c>
      <c r="Y3" s="295">
        <f>+'Inversión-Financiación'!AC38</f>
        <v>0</v>
      </c>
      <c r="Z3" s="551">
        <f>+'Inversión-Financiación'!AD38</f>
        <v>0</v>
      </c>
      <c r="AA3" s="548">
        <f>+'Inversión-Financiación'!AE38</f>
        <v>0</v>
      </c>
      <c r="AB3" s="295">
        <f>+'Inversión-Financiación'!AF38</f>
        <v>0</v>
      </c>
      <c r="AC3" s="295">
        <f>+'Inversión-Financiación'!AG38</f>
        <v>0</v>
      </c>
      <c r="AD3" s="295">
        <f>+'Inversión-Financiación'!AH38</f>
        <v>0</v>
      </c>
      <c r="AE3" s="295">
        <f>+'Inversión-Financiación'!AI38</f>
        <v>0</v>
      </c>
      <c r="AF3" s="295">
        <f>+'Inversión-Financiación'!AJ38</f>
        <v>0</v>
      </c>
      <c r="AG3" s="295">
        <f>+'Inversión-Financiación'!AK38</f>
        <v>0</v>
      </c>
      <c r="AH3" s="295">
        <f>+'Inversión-Financiación'!AL38</f>
        <v>0</v>
      </c>
      <c r="AI3" s="295">
        <f>+'Inversión-Financiación'!AM38</f>
        <v>0</v>
      </c>
      <c r="AJ3" s="295">
        <f>+'Inversión-Financiación'!AN38</f>
        <v>0</v>
      </c>
      <c r="AK3" s="295">
        <f>+'Inversión-Financiación'!AO38</f>
        <v>0</v>
      </c>
      <c r="AL3" s="549">
        <f>+'Inversión-Financiación'!AP38</f>
        <v>0</v>
      </c>
    </row>
    <row r="4" spans="2:39">
      <c r="B4" s="33" t="s">
        <v>120</v>
      </c>
      <c r="C4" s="548">
        <f>+'INGRESOS-GASTOS'!G33+'INGRESOS-GASTOS'!G65+Seguimiento!D45</f>
        <v>0</v>
      </c>
      <c r="D4" s="295">
        <f>+'INGRESOS-GASTOS'!H33+'INGRESOS-GASTOS'!H65+Seguimiento!E45</f>
        <v>0</v>
      </c>
      <c r="E4" s="295">
        <f>+'INGRESOS-GASTOS'!I33+'INGRESOS-GASTOS'!I65+Seguimiento!F45</f>
        <v>0</v>
      </c>
      <c r="F4" s="295">
        <f>+'INGRESOS-GASTOS'!J33+'INGRESOS-GASTOS'!J65+Seguimiento!G45</f>
        <v>0</v>
      </c>
      <c r="G4" s="295">
        <f>+'INGRESOS-GASTOS'!K33+'INGRESOS-GASTOS'!K65+Seguimiento!H45</f>
        <v>0</v>
      </c>
      <c r="H4" s="295">
        <f>+'INGRESOS-GASTOS'!L33+'INGRESOS-GASTOS'!L65+Seguimiento!I45</f>
        <v>0</v>
      </c>
      <c r="I4" s="295">
        <f>+'INGRESOS-GASTOS'!M33+'INGRESOS-GASTOS'!M65+Seguimiento!J45</f>
        <v>0</v>
      </c>
      <c r="J4" s="295">
        <f>+'INGRESOS-GASTOS'!N33+'INGRESOS-GASTOS'!N65+Seguimiento!K45</f>
        <v>0</v>
      </c>
      <c r="K4" s="295">
        <f>+'INGRESOS-GASTOS'!O33+'INGRESOS-GASTOS'!O65+Seguimiento!L45</f>
        <v>0</v>
      </c>
      <c r="L4" s="295">
        <f>+'INGRESOS-GASTOS'!P33+'INGRESOS-GASTOS'!P65+Seguimiento!M45</f>
        <v>0</v>
      </c>
      <c r="M4" s="295">
        <f>+'INGRESOS-GASTOS'!Q33+'INGRESOS-GASTOS'!Q65+Seguimiento!N45</f>
        <v>0</v>
      </c>
      <c r="N4" s="549">
        <f>+'INGRESOS-GASTOS'!R33+'INGRESOS-GASTOS'!R65+Seguimiento!O45</f>
        <v>0</v>
      </c>
      <c r="O4" s="550">
        <f>+'INGRESOS-GASTOS'!S33+'INGRESOS-GASTOS'!S65</f>
        <v>0</v>
      </c>
      <c r="P4" s="295">
        <f>+'INGRESOS-GASTOS'!T33+'INGRESOS-GASTOS'!T65</f>
        <v>0</v>
      </c>
      <c r="Q4" s="295">
        <f>+'INGRESOS-GASTOS'!U33+'INGRESOS-GASTOS'!U65</f>
        <v>0</v>
      </c>
      <c r="R4" s="295">
        <f>+'INGRESOS-GASTOS'!V33+'INGRESOS-GASTOS'!V65</f>
        <v>0</v>
      </c>
      <c r="S4" s="295">
        <f>+'INGRESOS-GASTOS'!W33+'INGRESOS-GASTOS'!W65</f>
        <v>0</v>
      </c>
      <c r="T4" s="295">
        <f>+'INGRESOS-GASTOS'!X33+'INGRESOS-GASTOS'!X65</f>
        <v>0</v>
      </c>
      <c r="U4" s="295">
        <f>+'INGRESOS-GASTOS'!Y33+'INGRESOS-GASTOS'!Y65</f>
        <v>0</v>
      </c>
      <c r="V4" s="295">
        <f>+'INGRESOS-GASTOS'!Z33+'INGRESOS-GASTOS'!Z65</f>
        <v>0</v>
      </c>
      <c r="W4" s="295">
        <f>+'INGRESOS-GASTOS'!AA33+'INGRESOS-GASTOS'!AA65</f>
        <v>0</v>
      </c>
      <c r="X4" s="295">
        <f>+'INGRESOS-GASTOS'!AB33+'INGRESOS-GASTOS'!AB65</f>
        <v>0</v>
      </c>
      <c r="Y4" s="295">
        <f>+'INGRESOS-GASTOS'!AC33+'INGRESOS-GASTOS'!AC65</f>
        <v>0</v>
      </c>
      <c r="Z4" s="551">
        <f>+'INGRESOS-GASTOS'!AD33+'INGRESOS-GASTOS'!AD65</f>
        <v>0</v>
      </c>
      <c r="AA4" s="548">
        <f>+'INGRESOS-GASTOS'!AE33+'INGRESOS-GASTOS'!AE65</f>
        <v>0</v>
      </c>
      <c r="AB4" s="295">
        <f>+'INGRESOS-GASTOS'!AF33+'INGRESOS-GASTOS'!AF65</f>
        <v>0</v>
      </c>
      <c r="AC4" s="295">
        <f>+'INGRESOS-GASTOS'!AG33+'INGRESOS-GASTOS'!AG65</f>
        <v>0</v>
      </c>
      <c r="AD4" s="295">
        <f>+'INGRESOS-GASTOS'!AH33+'INGRESOS-GASTOS'!AH65</f>
        <v>0</v>
      </c>
      <c r="AE4" s="295">
        <f>+'INGRESOS-GASTOS'!AI33+'INGRESOS-GASTOS'!AI65</f>
        <v>0</v>
      </c>
      <c r="AF4" s="295">
        <f>+'INGRESOS-GASTOS'!AJ33+'INGRESOS-GASTOS'!AJ65</f>
        <v>0</v>
      </c>
      <c r="AG4" s="295">
        <f>+'INGRESOS-GASTOS'!AK33+'INGRESOS-GASTOS'!AK65</f>
        <v>0</v>
      </c>
      <c r="AH4" s="295">
        <f>+'INGRESOS-GASTOS'!AL33+'INGRESOS-GASTOS'!AL65</f>
        <v>0</v>
      </c>
      <c r="AI4" s="295">
        <f>+'INGRESOS-GASTOS'!AM33+'INGRESOS-GASTOS'!AM65</f>
        <v>0</v>
      </c>
      <c r="AJ4" s="295">
        <f>+'INGRESOS-GASTOS'!AN33+'INGRESOS-GASTOS'!AN65</f>
        <v>0</v>
      </c>
      <c r="AK4" s="295">
        <f>+'INGRESOS-GASTOS'!AO33+'INGRESOS-GASTOS'!AO65</f>
        <v>0</v>
      </c>
      <c r="AL4" s="549">
        <f>+'INGRESOS-GASTOS'!AP33+'INGRESOS-GASTOS'!AP65</f>
        <v>0</v>
      </c>
    </row>
    <row r="5" spans="2:39" s="122" customFormat="1">
      <c r="B5" s="101" t="s">
        <v>218</v>
      </c>
      <c r="C5" s="552">
        <f>SUM(C3:C4)</f>
        <v>0</v>
      </c>
      <c r="D5" s="300">
        <f>SUM(D3:D4)</f>
        <v>0</v>
      </c>
      <c r="E5" s="300">
        <f t="shared" ref="E5:AL5" si="2">SUM(E3:E4)</f>
        <v>0</v>
      </c>
      <c r="F5" s="300">
        <f t="shared" si="2"/>
        <v>0</v>
      </c>
      <c r="G5" s="300">
        <f t="shared" si="2"/>
        <v>0</v>
      </c>
      <c r="H5" s="300">
        <f t="shared" si="2"/>
        <v>0</v>
      </c>
      <c r="I5" s="300">
        <f t="shared" si="2"/>
        <v>0</v>
      </c>
      <c r="J5" s="300">
        <f t="shared" si="2"/>
        <v>0</v>
      </c>
      <c r="K5" s="300">
        <f t="shared" si="2"/>
        <v>0</v>
      </c>
      <c r="L5" s="300">
        <f t="shared" si="2"/>
        <v>0</v>
      </c>
      <c r="M5" s="300">
        <f t="shared" si="2"/>
        <v>0</v>
      </c>
      <c r="N5" s="553">
        <f t="shared" si="2"/>
        <v>0</v>
      </c>
      <c r="O5" s="554">
        <f t="shared" si="2"/>
        <v>0</v>
      </c>
      <c r="P5" s="300">
        <f t="shared" si="2"/>
        <v>0</v>
      </c>
      <c r="Q5" s="300">
        <f t="shared" si="2"/>
        <v>0</v>
      </c>
      <c r="R5" s="300">
        <f t="shared" si="2"/>
        <v>0</v>
      </c>
      <c r="S5" s="300">
        <f t="shared" si="2"/>
        <v>0</v>
      </c>
      <c r="T5" s="300">
        <f t="shared" si="2"/>
        <v>0</v>
      </c>
      <c r="U5" s="300">
        <f t="shared" si="2"/>
        <v>0</v>
      </c>
      <c r="V5" s="300">
        <f t="shared" si="2"/>
        <v>0</v>
      </c>
      <c r="W5" s="300">
        <f t="shared" si="2"/>
        <v>0</v>
      </c>
      <c r="X5" s="300">
        <f t="shared" si="2"/>
        <v>0</v>
      </c>
      <c r="Y5" s="300">
        <f t="shared" si="2"/>
        <v>0</v>
      </c>
      <c r="Z5" s="555">
        <f t="shared" si="2"/>
        <v>0</v>
      </c>
      <c r="AA5" s="552">
        <f t="shared" si="2"/>
        <v>0</v>
      </c>
      <c r="AB5" s="300">
        <f t="shared" si="2"/>
        <v>0</v>
      </c>
      <c r="AC5" s="300">
        <f t="shared" si="2"/>
        <v>0</v>
      </c>
      <c r="AD5" s="300">
        <f t="shared" si="2"/>
        <v>0</v>
      </c>
      <c r="AE5" s="300">
        <f t="shared" si="2"/>
        <v>0</v>
      </c>
      <c r="AF5" s="300">
        <f t="shared" si="2"/>
        <v>0</v>
      </c>
      <c r="AG5" s="300">
        <f t="shared" si="2"/>
        <v>0</v>
      </c>
      <c r="AH5" s="300">
        <f t="shared" si="2"/>
        <v>0</v>
      </c>
      <c r="AI5" s="300">
        <f t="shared" si="2"/>
        <v>0</v>
      </c>
      <c r="AJ5" s="300">
        <f t="shared" si="2"/>
        <v>0</v>
      </c>
      <c r="AK5" s="300">
        <f t="shared" si="2"/>
        <v>0</v>
      </c>
      <c r="AL5" s="553">
        <f t="shared" si="2"/>
        <v>0</v>
      </c>
    </row>
    <row r="6" spans="2:39" s="33" customFormat="1" ht="9" customHeight="1">
      <c r="B6" s="33" t="s">
        <v>46</v>
      </c>
      <c r="C6" s="556"/>
      <c r="D6" s="557"/>
      <c r="E6" s="557"/>
      <c r="F6" s="557"/>
      <c r="G6" s="557"/>
      <c r="H6" s="557"/>
      <c r="I6" s="557"/>
      <c r="J6" s="557"/>
      <c r="K6" s="557"/>
      <c r="L6" s="557"/>
      <c r="M6" s="557"/>
      <c r="N6" s="558"/>
      <c r="O6" s="557"/>
      <c r="P6" s="557"/>
      <c r="Q6" s="557"/>
      <c r="R6" s="557"/>
      <c r="S6" s="557"/>
      <c r="T6" s="557"/>
      <c r="U6" s="557"/>
      <c r="V6" s="557"/>
      <c r="W6" s="557"/>
      <c r="X6" s="557"/>
      <c r="Y6" s="557"/>
      <c r="Z6" s="557"/>
      <c r="AA6" s="559"/>
      <c r="AB6" s="557"/>
      <c r="AC6" s="557"/>
      <c r="AD6" s="557"/>
      <c r="AE6" s="557"/>
      <c r="AF6" s="557"/>
      <c r="AG6" s="557"/>
      <c r="AH6" s="557"/>
      <c r="AI6" s="557"/>
      <c r="AJ6" s="557"/>
      <c r="AK6" s="557"/>
      <c r="AL6" s="558"/>
    </row>
    <row r="7" spans="2:39" s="33" customFormat="1">
      <c r="B7" s="33" t="s">
        <v>124</v>
      </c>
      <c r="C7" s="548">
        <f>-(+'INGRESOS-GASTOS'!G98+'INGRESOS-GASTOS'!G130)+Seguimiento!D46</f>
        <v>0</v>
      </c>
      <c r="D7" s="295">
        <f>-(+'INGRESOS-GASTOS'!H98+'INGRESOS-GASTOS'!H130)+Seguimiento!E46</f>
        <v>0</v>
      </c>
      <c r="E7" s="295">
        <f>-(+'INGRESOS-GASTOS'!I98+'INGRESOS-GASTOS'!I130)+Seguimiento!F46</f>
        <v>0</v>
      </c>
      <c r="F7" s="295">
        <f>-(+'INGRESOS-GASTOS'!J98+'INGRESOS-GASTOS'!J130)+Seguimiento!G46</f>
        <v>0</v>
      </c>
      <c r="G7" s="295">
        <f>-(+'INGRESOS-GASTOS'!K98+'INGRESOS-GASTOS'!K130)+Seguimiento!H46</f>
        <v>0</v>
      </c>
      <c r="H7" s="295">
        <f>-(+'INGRESOS-GASTOS'!L98+'INGRESOS-GASTOS'!L130)+Seguimiento!I46</f>
        <v>0</v>
      </c>
      <c r="I7" s="295">
        <f>-(+'INGRESOS-GASTOS'!M98+'INGRESOS-GASTOS'!M130)+Seguimiento!J46</f>
        <v>0</v>
      </c>
      <c r="J7" s="295">
        <f>-(+'INGRESOS-GASTOS'!N98+'INGRESOS-GASTOS'!N130)+Seguimiento!K46</f>
        <v>0</v>
      </c>
      <c r="K7" s="295">
        <f>-(+'INGRESOS-GASTOS'!O98+'INGRESOS-GASTOS'!O130)+Seguimiento!L46</f>
        <v>0</v>
      </c>
      <c r="L7" s="295">
        <f>-(+'INGRESOS-GASTOS'!P98+'INGRESOS-GASTOS'!P130)+Seguimiento!M46</f>
        <v>0</v>
      </c>
      <c r="M7" s="295">
        <f>-(+'INGRESOS-GASTOS'!Q98+'INGRESOS-GASTOS'!Q130)+Seguimiento!N46</f>
        <v>0</v>
      </c>
      <c r="N7" s="549">
        <f>-(+'INGRESOS-GASTOS'!R98+'INGRESOS-GASTOS'!R130)+Seguimiento!O46</f>
        <v>0</v>
      </c>
      <c r="O7" s="550">
        <f>-(+'INGRESOS-GASTOS'!S98+'INGRESOS-GASTOS'!S130)</f>
        <v>0</v>
      </c>
      <c r="P7" s="295">
        <f>-(+'INGRESOS-GASTOS'!T98+'INGRESOS-GASTOS'!T130)</f>
        <v>0</v>
      </c>
      <c r="Q7" s="295">
        <f>-(+'INGRESOS-GASTOS'!U98+'INGRESOS-GASTOS'!U130)</f>
        <v>0</v>
      </c>
      <c r="R7" s="295">
        <f>-(+'INGRESOS-GASTOS'!V98+'INGRESOS-GASTOS'!V130)</f>
        <v>0</v>
      </c>
      <c r="S7" s="295">
        <f>-(+'INGRESOS-GASTOS'!W98+'INGRESOS-GASTOS'!W130)</f>
        <v>0</v>
      </c>
      <c r="T7" s="295">
        <f>-(+'INGRESOS-GASTOS'!X98+'INGRESOS-GASTOS'!X130)</f>
        <v>0</v>
      </c>
      <c r="U7" s="295">
        <f>-(+'INGRESOS-GASTOS'!Y98+'INGRESOS-GASTOS'!Y130)</f>
        <v>0</v>
      </c>
      <c r="V7" s="295">
        <f>-(+'INGRESOS-GASTOS'!Z98+'INGRESOS-GASTOS'!Z130)</f>
        <v>0</v>
      </c>
      <c r="W7" s="295">
        <f>-(+'INGRESOS-GASTOS'!AA98+'INGRESOS-GASTOS'!AA130)</f>
        <v>0</v>
      </c>
      <c r="X7" s="295">
        <f>-(+'INGRESOS-GASTOS'!AB98+'INGRESOS-GASTOS'!AB130)</f>
        <v>0</v>
      </c>
      <c r="Y7" s="295">
        <f>-(+'INGRESOS-GASTOS'!AC98+'INGRESOS-GASTOS'!AC130)</f>
        <v>0</v>
      </c>
      <c r="Z7" s="551">
        <f>-(+'INGRESOS-GASTOS'!AD98+'INGRESOS-GASTOS'!AD130)</f>
        <v>0</v>
      </c>
      <c r="AA7" s="548">
        <f>-(+'INGRESOS-GASTOS'!AE98+'INGRESOS-GASTOS'!AE130)</f>
        <v>0</v>
      </c>
      <c r="AB7" s="295">
        <f>-(+'INGRESOS-GASTOS'!AF98+'INGRESOS-GASTOS'!AF130)</f>
        <v>0</v>
      </c>
      <c r="AC7" s="295">
        <f>-(+'INGRESOS-GASTOS'!AG98+'INGRESOS-GASTOS'!AG130)</f>
        <v>0</v>
      </c>
      <c r="AD7" s="295">
        <f>-(+'INGRESOS-GASTOS'!AH98+'INGRESOS-GASTOS'!AH130)</f>
        <v>0</v>
      </c>
      <c r="AE7" s="295">
        <f>-(+'INGRESOS-GASTOS'!AI98+'INGRESOS-GASTOS'!AI130)</f>
        <v>0</v>
      </c>
      <c r="AF7" s="295">
        <f>-(+'INGRESOS-GASTOS'!AJ98+'INGRESOS-GASTOS'!AJ130)</f>
        <v>0</v>
      </c>
      <c r="AG7" s="295">
        <f>-(+'INGRESOS-GASTOS'!AK98+'INGRESOS-GASTOS'!AK130)</f>
        <v>0</v>
      </c>
      <c r="AH7" s="295">
        <f>-(+'INGRESOS-GASTOS'!AL98+'INGRESOS-GASTOS'!AL130)</f>
        <v>0</v>
      </c>
      <c r="AI7" s="295">
        <f>-(+'INGRESOS-GASTOS'!AM98+'INGRESOS-GASTOS'!AM130)</f>
        <v>0</v>
      </c>
      <c r="AJ7" s="295">
        <f>-(+'INGRESOS-GASTOS'!AN98+'INGRESOS-GASTOS'!AN130)</f>
        <v>0</v>
      </c>
      <c r="AK7" s="295">
        <f>-(+'INGRESOS-GASTOS'!AO98+'INGRESOS-GASTOS'!AO130)</f>
        <v>0</v>
      </c>
      <c r="AL7" s="549">
        <f>-(+'INGRESOS-GASTOS'!AP98+'INGRESOS-GASTOS'!AP130)</f>
        <v>0</v>
      </c>
    </row>
    <row r="8" spans="2:39">
      <c r="B8" s="33" t="str">
        <f>+'Resultados mensuales '!B6</f>
        <v>Otros costes variables</v>
      </c>
      <c r="C8" s="548">
        <f>-(+'INGRESOS-GASTOS'!G147+'INGRESOS-GASTOS'!G163)</f>
        <v>0</v>
      </c>
      <c r="D8" s="295">
        <f>-(+'INGRESOS-GASTOS'!H147+'INGRESOS-GASTOS'!H163)</f>
        <v>0</v>
      </c>
      <c r="E8" s="295">
        <f>-(+'INGRESOS-GASTOS'!I147+'INGRESOS-GASTOS'!I163)</f>
        <v>0</v>
      </c>
      <c r="F8" s="295">
        <f>-(+'INGRESOS-GASTOS'!J147+'INGRESOS-GASTOS'!J163)</f>
        <v>0</v>
      </c>
      <c r="G8" s="295">
        <f>-(+'INGRESOS-GASTOS'!K147+'INGRESOS-GASTOS'!K163)</f>
        <v>0</v>
      </c>
      <c r="H8" s="295">
        <f>-(+'INGRESOS-GASTOS'!L147+'INGRESOS-GASTOS'!L163)</f>
        <v>0</v>
      </c>
      <c r="I8" s="295">
        <f>-(+'INGRESOS-GASTOS'!M147+'INGRESOS-GASTOS'!M163)</f>
        <v>0</v>
      </c>
      <c r="J8" s="295">
        <f>-(+'INGRESOS-GASTOS'!N147+'INGRESOS-GASTOS'!N163)</f>
        <v>0</v>
      </c>
      <c r="K8" s="295">
        <f>-(+'INGRESOS-GASTOS'!O147+'INGRESOS-GASTOS'!O163)</f>
        <v>0</v>
      </c>
      <c r="L8" s="295">
        <f>-(+'INGRESOS-GASTOS'!P147+'INGRESOS-GASTOS'!P163)</f>
        <v>0</v>
      </c>
      <c r="M8" s="295">
        <f>-(+'INGRESOS-GASTOS'!Q147+'INGRESOS-GASTOS'!Q163)</f>
        <v>0</v>
      </c>
      <c r="N8" s="549">
        <f>-(+'INGRESOS-GASTOS'!R147+'INGRESOS-GASTOS'!R163)</f>
        <v>0</v>
      </c>
      <c r="O8" s="550">
        <f>-(+'INGRESOS-GASTOS'!S147+'INGRESOS-GASTOS'!S163)</f>
        <v>0</v>
      </c>
      <c r="P8" s="295">
        <f>-(+'INGRESOS-GASTOS'!T147+'INGRESOS-GASTOS'!T163)</f>
        <v>0</v>
      </c>
      <c r="Q8" s="295">
        <f>-(+'INGRESOS-GASTOS'!U147+'INGRESOS-GASTOS'!U163)</f>
        <v>0</v>
      </c>
      <c r="R8" s="295">
        <f>-(+'INGRESOS-GASTOS'!V147+'INGRESOS-GASTOS'!V163)</f>
        <v>0</v>
      </c>
      <c r="S8" s="295">
        <f>-(+'INGRESOS-GASTOS'!W147+'INGRESOS-GASTOS'!W163)</f>
        <v>0</v>
      </c>
      <c r="T8" s="295">
        <f>-(+'INGRESOS-GASTOS'!X147+'INGRESOS-GASTOS'!X163)</f>
        <v>0</v>
      </c>
      <c r="U8" s="295">
        <f>-(+'INGRESOS-GASTOS'!Y147+'INGRESOS-GASTOS'!Y163)</f>
        <v>0</v>
      </c>
      <c r="V8" s="295">
        <f>-(+'INGRESOS-GASTOS'!Z147+'INGRESOS-GASTOS'!Z163)</f>
        <v>0</v>
      </c>
      <c r="W8" s="295">
        <f>-(+'INGRESOS-GASTOS'!AA147+'INGRESOS-GASTOS'!AA163)</f>
        <v>0</v>
      </c>
      <c r="X8" s="295">
        <f>-(+'INGRESOS-GASTOS'!AB147+'INGRESOS-GASTOS'!AB163)</f>
        <v>0</v>
      </c>
      <c r="Y8" s="295">
        <f>-(+'INGRESOS-GASTOS'!AC147+'INGRESOS-GASTOS'!AC163)</f>
        <v>0</v>
      </c>
      <c r="Z8" s="551">
        <f>-(+'INGRESOS-GASTOS'!AD147+'INGRESOS-GASTOS'!AD163)</f>
        <v>0</v>
      </c>
      <c r="AA8" s="548">
        <f>-(+'INGRESOS-GASTOS'!AE147+'INGRESOS-GASTOS'!AE163)</f>
        <v>0</v>
      </c>
      <c r="AB8" s="295">
        <f>-(+'INGRESOS-GASTOS'!AF147+'INGRESOS-GASTOS'!AF163)</f>
        <v>0</v>
      </c>
      <c r="AC8" s="295">
        <f>-(+'INGRESOS-GASTOS'!AG147+'INGRESOS-GASTOS'!AG163)</f>
        <v>0</v>
      </c>
      <c r="AD8" s="295">
        <f>-(+'INGRESOS-GASTOS'!AH147+'INGRESOS-GASTOS'!AH163)</f>
        <v>0</v>
      </c>
      <c r="AE8" s="295">
        <f>-(+'INGRESOS-GASTOS'!AI147+'INGRESOS-GASTOS'!AI163)</f>
        <v>0</v>
      </c>
      <c r="AF8" s="295">
        <f>-(+'INGRESOS-GASTOS'!AJ147+'INGRESOS-GASTOS'!AJ163)</f>
        <v>0</v>
      </c>
      <c r="AG8" s="295">
        <f>-(+'INGRESOS-GASTOS'!AK147+'INGRESOS-GASTOS'!AK163)</f>
        <v>0</v>
      </c>
      <c r="AH8" s="295">
        <f>-(+'INGRESOS-GASTOS'!AL147+'INGRESOS-GASTOS'!AL163)</f>
        <v>0</v>
      </c>
      <c r="AI8" s="295">
        <f>-(+'INGRESOS-GASTOS'!AM147+'INGRESOS-GASTOS'!AM163)</f>
        <v>0</v>
      </c>
      <c r="AJ8" s="295">
        <f>-(+'INGRESOS-GASTOS'!AN147+'INGRESOS-GASTOS'!AN163)</f>
        <v>0</v>
      </c>
      <c r="AK8" s="295">
        <f>-(+'INGRESOS-GASTOS'!AO147+'INGRESOS-GASTOS'!AO163)</f>
        <v>0</v>
      </c>
      <c r="AL8" s="549">
        <f>-(+'INGRESOS-GASTOS'!AP147+'INGRESOS-GASTOS'!AP163)</f>
        <v>0</v>
      </c>
    </row>
    <row r="9" spans="2:39" s="33" customFormat="1" ht="6" customHeight="1">
      <c r="C9" s="556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8"/>
      <c r="O9" s="557"/>
      <c r="P9" s="557"/>
      <c r="Q9" s="557"/>
      <c r="R9" s="557"/>
      <c r="S9" s="557"/>
      <c r="T9" s="557"/>
      <c r="U9" s="557"/>
      <c r="V9" s="557"/>
      <c r="W9" s="557"/>
      <c r="X9" s="557"/>
      <c r="Y9" s="557"/>
      <c r="Z9" s="557"/>
      <c r="AA9" s="559"/>
      <c r="AB9" s="557"/>
      <c r="AC9" s="557"/>
      <c r="AD9" s="557"/>
      <c r="AE9" s="557"/>
      <c r="AF9" s="557"/>
      <c r="AG9" s="557"/>
      <c r="AH9" s="557"/>
      <c r="AI9" s="557"/>
      <c r="AJ9" s="557"/>
      <c r="AK9" s="557"/>
      <c r="AL9" s="558"/>
    </row>
    <row r="10" spans="2:39">
      <c r="B10" s="124" t="str">
        <f>+'Resultados mensuales '!B9</f>
        <v>Sueldos y salarios</v>
      </c>
      <c r="C10" s="548">
        <f>-'Personal retribución'!J69+'Personal retribución'!J70</f>
        <v>0</v>
      </c>
      <c r="D10" s="295">
        <f>-'Personal retribución'!K69+'Personal retribución'!K70</f>
        <v>0</v>
      </c>
      <c r="E10" s="295">
        <f>-'Personal retribución'!L69+'Personal retribución'!L70</f>
        <v>0</v>
      </c>
      <c r="F10" s="295">
        <f>-'Personal retribución'!M69+'Personal retribución'!M70</f>
        <v>0</v>
      </c>
      <c r="G10" s="295">
        <f>-'Personal retribución'!N69+'Personal retribución'!N70</f>
        <v>0</v>
      </c>
      <c r="H10" s="295">
        <f>-'Personal retribución'!O69+'Personal retribución'!O70</f>
        <v>0</v>
      </c>
      <c r="I10" s="295">
        <f>-'Personal retribución'!P69+'Personal retribución'!P70</f>
        <v>0</v>
      </c>
      <c r="J10" s="295">
        <f>-'Personal retribución'!Q69+'Personal retribución'!Q70</f>
        <v>0</v>
      </c>
      <c r="K10" s="295">
        <f>-'Personal retribución'!R69+'Personal retribución'!R70</f>
        <v>0</v>
      </c>
      <c r="L10" s="295">
        <f>-'Personal retribución'!S69+'Personal retribución'!S70</f>
        <v>0</v>
      </c>
      <c r="M10" s="295">
        <f>-'Personal retribución'!T69+'Personal retribución'!T70</f>
        <v>0</v>
      </c>
      <c r="N10" s="549">
        <f>-'Personal retribución'!U69+'Personal retribución'!U70</f>
        <v>0</v>
      </c>
      <c r="O10" s="550">
        <f>-'Personal retribución'!V69+'Personal retribución'!V70</f>
        <v>0</v>
      </c>
      <c r="P10" s="295">
        <f>-'Personal retribución'!W69+'Personal retribución'!W70</f>
        <v>0</v>
      </c>
      <c r="Q10" s="295">
        <f>-'Personal retribución'!X69+'Personal retribución'!X70</f>
        <v>0</v>
      </c>
      <c r="R10" s="295">
        <f>-'Personal retribución'!Y69+'Personal retribución'!Y70</f>
        <v>0</v>
      </c>
      <c r="S10" s="295">
        <f>-'Personal retribución'!Z69+'Personal retribución'!Z70</f>
        <v>0</v>
      </c>
      <c r="T10" s="295">
        <f>-'Personal retribución'!AA69+'Personal retribución'!AA70</f>
        <v>0</v>
      </c>
      <c r="U10" s="295">
        <f>-'Personal retribución'!AB69+'Personal retribución'!AB70</f>
        <v>0</v>
      </c>
      <c r="V10" s="295">
        <f>-'Personal retribución'!AC69+'Personal retribución'!AC70</f>
        <v>0</v>
      </c>
      <c r="W10" s="295">
        <f>-'Personal retribución'!AD69+'Personal retribución'!AD70</f>
        <v>0</v>
      </c>
      <c r="X10" s="295">
        <f>-'Personal retribución'!AE69+'Personal retribución'!AE70</f>
        <v>0</v>
      </c>
      <c r="Y10" s="295">
        <f>-'Personal retribución'!AF69+'Personal retribución'!AF70</f>
        <v>0</v>
      </c>
      <c r="Z10" s="551">
        <f>-'Personal retribución'!AG69+'Personal retribución'!AG70</f>
        <v>0</v>
      </c>
      <c r="AA10" s="548">
        <f>-'Personal retribución'!AH69+'Personal retribución'!AH70</f>
        <v>0</v>
      </c>
      <c r="AB10" s="295">
        <f>-'Personal retribución'!AI69+'Personal retribución'!AI70</f>
        <v>0</v>
      </c>
      <c r="AC10" s="295">
        <f>-'Personal retribución'!AJ69+'Personal retribución'!AJ70</f>
        <v>0</v>
      </c>
      <c r="AD10" s="295">
        <f>-'Personal retribución'!AK69+'Personal retribución'!AK70</f>
        <v>0</v>
      </c>
      <c r="AE10" s="295">
        <f>-'Personal retribución'!AL69+'Personal retribución'!AL70</f>
        <v>0</v>
      </c>
      <c r="AF10" s="295">
        <f>-'Personal retribución'!AM69+'Personal retribución'!AM70</f>
        <v>0</v>
      </c>
      <c r="AG10" s="295">
        <f>-'Personal retribución'!AN69+'Personal retribución'!AN70</f>
        <v>0</v>
      </c>
      <c r="AH10" s="295">
        <f>-'Personal retribución'!AO69+'Personal retribución'!AO70</f>
        <v>0</v>
      </c>
      <c r="AI10" s="295">
        <f>-'Personal retribución'!AP69+'Personal retribución'!AP70</f>
        <v>0</v>
      </c>
      <c r="AJ10" s="295">
        <f>-'Personal retribución'!AQ69+'Personal retribución'!AQ70</f>
        <v>0</v>
      </c>
      <c r="AK10" s="295">
        <f>-'Personal retribución'!AR69+'Personal retribución'!AR70</f>
        <v>0</v>
      </c>
      <c r="AL10" s="549">
        <f>-'Personal retribución'!AS69+'Personal retribución'!AS70</f>
        <v>0</v>
      </c>
    </row>
    <row r="11" spans="2:39" s="33" customFormat="1">
      <c r="B11" s="124" t="str">
        <f>+'Resultados mensuales '!B10</f>
        <v>Seguridad social</v>
      </c>
      <c r="C11" s="548"/>
      <c r="D11" s="295">
        <f>'Resultados mensuales '!C10</f>
        <v>0</v>
      </c>
      <c r="E11" s="295">
        <f>'Resultados mensuales '!D10</f>
        <v>0</v>
      </c>
      <c r="F11" s="295">
        <f>'Resultados mensuales '!E10</f>
        <v>0</v>
      </c>
      <c r="G11" s="295">
        <f>'Resultados mensuales '!F10</f>
        <v>0</v>
      </c>
      <c r="H11" s="295">
        <f>'Resultados mensuales '!G10</f>
        <v>0</v>
      </c>
      <c r="I11" s="295">
        <f>'Resultados mensuales '!H10</f>
        <v>0</v>
      </c>
      <c r="J11" s="295">
        <f>'Resultados mensuales '!I10</f>
        <v>0</v>
      </c>
      <c r="K11" s="295">
        <f>'Resultados mensuales '!J10</f>
        <v>0</v>
      </c>
      <c r="L11" s="295">
        <f>'Resultados mensuales '!K10</f>
        <v>0</v>
      </c>
      <c r="M11" s="295">
        <f>'Resultados mensuales '!L10</f>
        <v>0</v>
      </c>
      <c r="N11" s="549">
        <f>'Resultados mensuales '!M10</f>
        <v>0</v>
      </c>
      <c r="O11" s="550">
        <f>'Resultados mensuales '!N10</f>
        <v>0</v>
      </c>
      <c r="P11" s="295">
        <f>'Resultados mensuales '!O10</f>
        <v>0</v>
      </c>
      <c r="Q11" s="295">
        <f>'Resultados mensuales '!P10</f>
        <v>0</v>
      </c>
      <c r="R11" s="295">
        <f>'Resultados mensuales '!Q10</f>
        <v>0</v>
      </c>
      <c r="S11" s="295">
        <f>'Resultados mensuales '!R10</f>
        <v>0</v>
      </c>
      <c r="T11" s="295">
        <f>'Resultados mensuales '!S10</f>
        <v>0</v>
      </c>
      <c r="U11" s="295">
        <f>'Resultados mensuales '!T10</f>
        <v>0</v>
      </c>
      <c r="V11" s="295">
        <f>'Resultados mensuales '!U10</f>
        <v>0</v>
      </c>
      <c r="W11" s="295">
        <f>'Resultados mensuales '!V10</f>
        <v>0</v>
      </c>
      <c r="X11" s="295">
        <f>'Resultados mensuales '!W10</f>
        <v>0</v>
      </c>
      <c r="Y11" s="295">
        <f>'Resultados mensuales '!X10</f>
        <v>0</v>
      </c>
      <c r="Z11" s="551">
        <f>'Resultados mensuales '!Y10</f>
        <v>0</v>
      </c>
      <c r="AA11" s="548">
        <f>'Resultados mensuales '!Z10</f>
        <v>0</v>
      </c>
      <c r="AB11" s="295">
        <f>'Resultados mensuales '!AA10</f>
        <v>0</v>
      </c>
      <c r="AC11" s="295">
        <f>'Resultados mensuales '!AB10</f>
        <v>0</v>
      </c>
      <c r="AD11" s="295">
        <f>'Resultados mensuales '!AC10</f>
        <v>0</v>
      </c>
      <c r="AE11" s="295">
        <f>'Resultados mensuales '!AD10</f>
        <v>0</v>
      </c>
      <c r="AF11" s="295">
        <f>'Resultados mensuales '!AE10</f>
        <v>0</v>
      </c>
      <c r="AG11" s="295">
        <f>'Resultados mensuales '!AF10</f>
        <v>0</v>
      </c>
      <c r="AH11" s="295">
        <f>'Resultados mensuales '!AG10</f>
        <v>0</v>
      </c>
      <c r="AI11" s="295">
        <f>'Resultados mensuales '!AH10</f>
        <v>0</v>
      </c>
      <c r="AJ11" s="295">
        <f>'Resultados mensuales '!AI10</f>
        <v>0</v>
      </c>
      <c r="AK11" s="295">
        <f>'Resultados mensuales '!AJ10</f>
        <v>0</v>
      </c>
      <c r="AL11" s="549">
        <f>'Resultados mensuales '!AK10</f>
        <v>0</v>
      </c>
      <c r="AM11" s="402">
        <f>'Resultados mensuales '!AL10</f>
        <v>0</v>
      </c>
    </row>
    <row r="12" spans="2:39">
      <c r="B12" s="124" t="str">
        <f>+'Resultados mensuales '!B11</f>
        <v>Publicidad</v>
      </c>
      <c r="C12" s="548">
        <f>+'Resultados mensuales '!C11*(1+'Otros Gastos'!$C13)+'IRPF-IVA-IS'!G6</f>
        <v>0</v>
      </c>
      <c r="D12" s="295">
        <f>+'Resultados mensuales '!D11*(1+'Otros Gastos'!$C13)+'IRPF-IVA-IS'!H6</f>
        <v>0</v>
      </c>
      <c r="E12" s="295">
        <f>+'Resultados mensuales '!E11*(1+'Otros Gastos'!$C13)+'IRPF-IVA-IS'!I6</f>
        <v>0</v>
      </c>
      <c r="F12" s="295">
        <f>+'Resultados mensuales '!F11*(1+'Otros Gastos'!$C13)+'IRPF-IVA-IS'!J6</f>
        <v>0</v>
      </c>
      <c r="G12" s="295">
        <f>+'Resultados mensuales '!G11*(1+'Otros Gastos'!$C13)+'IRPF-IVA-IS'!K6</f>
        <v>0</v>
      </c>
      <c r="H12" s="295">
        <f>+'Resultados mensuales '!H11*(1+'Otros Gastos'!$C13)+'IRPF-IVA-IS'!L6</f>
        <v>0</v>
      </c>
      <c r="I12" s="295">
        <f>+'Resultados mensuales '!I11*(1+'Otros Gastos'!$C13)+'IRPF-IVA-IS'!M6</f>
        <v>0</v>
      </c>
      <c r="J12" s="295">
        <f>+'Resultados mensuales '!J11*(1+'Otros Gastos'!$C13)+'IRPF-IVA-IS'!N6</f>
        <v>0</v>
      </c>
      <c r="K12" s="295">
        <f>+'Resultados mensuales '!K11*(1+'Otros Gastos'!$C13)+'IRPF-IVA-IS'!O6</f>
        <v>0</v>
      </c>
      <c r="L12" s="295">
        <f>+'Resultados mensuales '!L11*(1+'Otros Gastos'!$C13)+'IRPF-IVA-IS'!P6</f>
        <v>0</v>
      </c>
      <c r="M12" s="295">
        <f>+'Resultados mensuales '!M11*(1+'Otros Gastos'!$C13)+'IRPF-IVA-IS'!Q6</f>
        <v>0</v>
      </c>
      <c r="N12" s="549">
        <f>+'Resultados mensuales '!N11*(1+'Otros Gastos'!$C13)+'IRPF-IVA-IS'!R6</f>
        <v>0</v>
      </c>
      <c r="O12" s="550">
        <f>+'Resultados mensuales '!O11*(1+'Otros Gastos'!$C13)+'IRPF-IVA-IS'!S6</f>
        <v>0</v>
      </c>
      <c r="P12" s="295">
        <f>+'Resultados mensuales '!P11*(1+'Otros Gastos'!$C13)+'IRPF-IVA-IS'!T6</f>
        <v>0</v>
      </c>
      <c r="Q12" s="295">
        <f>+'Resultados mensuales '!Q11*(1+'Otros Gastos'!$C13)+'IRPF-IVA-IS'!U6</f>
        <v>0</v>
      </c>
      <c r="R12" s="295">
        <f>+'Resultados mensuales '!R11*(1+'Otros Gastos'!$C13)+'IRPF-IVA-IS'!V6</f>
        <v>0</v>
      </c>
      <c r="S12" s="295">
        <f>+'Resultados mensuales '!S11*(1+'Otros Gastos'!$C13)+'IRPF-IVA-IS'!W6</f>
        <v>0</v>
      </c>
      <c r="T12" s="295">
        <f>+'Resultados mensuales '!T11*(1+'Otros Gastos'!$C13)+'IRPF-IVA-IS'!X6</f>
        <v>0</v>
      </c>
      <c r="U12" s="295">
        <f>+'Resultados mensuales '!U11*(1+'Otros Gastos'!$C13)+'IRPF-IVA-IS'!Y6</f>
        <v>0</v>
      </c>
      <c r="V12" s="295">
        <f>+'Resultados mensuales '!V11*(1+'Otros Gastos'!$C13)+'IRPF-IVA-IS'!Z6</f>
        <v>0</v>
      </c>
      <c r="W12" s="295">
        <f>+'Resultados mensuales '!W11*(1+'Otros Gastos'!$C13)+'IRPF-IVA-IS'!AA6</f>
        <v>0</v>
      </c>
      <c r="X12" s="295">
        <f>+'Resultados mensuales '!X11*(1+'Otros Gastos'!$C13)+'IRPF-IVA-IS'!AB6</f>
        <v>0</v>
      </c>
      <c r="Y12" s="295">
        <f>+'Resultados mensuales '!Y11*(1+'Otros Gastos'!$C13)+'IRPF-IVA-IS'!AC6</f>
        <v>0</v>
      </c>
      <c r="Z12" s="551">
        <f>+'Resultados mensuales '!Z11*(1+'Otros Gastos'!$C13)+'IRPF-IVA-IS'!AD6</f>
        <v>0</v>
      </c>
      <c r="AA12" s="548">
        <f>+'Resultados mensuales '!AA11*(1+'Otros Gastos'!$C13)+'IRPF-IVA-IS'!AE6</f>
        <v>0</v>
      </c>
      <c r="AB12" s="295">
        <f>+'Resultados mensuales '!AB11*(1+'Otros Gastos'!$C13)+'IRPF-IVA-IS'!AF6</f>
        <v>0</v>
      </c>
      <c r="AC12" s="295">
        <f>+'Resultados mensuales '!AC11*(1+'Otros Gastos'!$C13)+'IRPF-IVA-IS'!AG6</f>
        <v>0</v>
      </c>
      <c r="AD12" s="295">
        <f>+'Resultados mensuales '!AD11*(1+'Otros Gastos'!$C13)+'IRPF-IVA-IS'!AH6</f>
        <v>0</v>
      </c>
      <c r="AE12" s="295">
        <f>+'Resultados mensuales '!AE11*(1+'Otros Gastos'!$C13)+'IRPF-IVA-IS'!AI6</f>
        <v>0</v>
      </c>
      <c r="AF12" s="295">
        <f>+'Resultados mensuales '!AF11*(1+'Otros Gastos'!$C13)+'IRPF-IVA-IS'!AJ6</f>
        <v>0</v>
      </c>
      <c r="AG12" s="295">
        <f>+'Resultados mensuales '!AG11*(1+'Otros Gastos'!$C13)+'IRPF-IVA-IS'!AK6</f>
        <v>0</v>
      </c>
      <c r="AH12" s="295">
        <f>+'Resultados mensuales '!AH11*(1+'Otros Gastos'!$C13)+'IRPF-IVA-IS'!AL6</f>
        <v>0</v>
      </c>
      <c r="AI12" s="295">
        <f>+'Resultados mensuales '!AI11*(1+'Otros Gastos'!$C13)+'IRPF-IVA-IS'!AM6</f>
        <v>0</v>
      </c>
      <c r="AJ12" s="295">
        <f>+'Resultados mensuales '!AJ11*(1+'Otros Gastos'!$C13)+'IRPF-IVA-IS'!AN6</f>
        <v>0</v>
      </c>
      <c r="AK12" s="295">
        <f>+'Resultados mensuales '!AK11*(1+'Otros Gastos'!$C13)+'IRPF-IVA-IS'!AO6</f>
        <v>0</v>
      </c>
      <c r="AL12" s="549">
        <f>+'Resultados mensuales '!AL11*(1+'Otros Gastos'!$C13)+'IRPF-IVA-IS'!AP6</f>
        <v>0</v>
      </c>
    </row>
    <row r="13" spans="2:39">
      <c r="B13" s="124">
        <f>+'Resultados mensuales '!B12</f>
        <v>0</v>
      </c>
      <c r="C13" s="548">
        <f>+'Resultados mensuales '!C12*(1+'Otros Gastos'!$C14)</f>
        <v>0</v>
      </c>
      <c r="D13" s="295">
        <f>+'Resultados mensuales '!D12*(1+'Otros Gastos'!$C14)</f>
        <v>0</v>
      </c>
      <c r="E13" s="295">
        <f>+'Resultados mensuales '!E12*(1+'Otros Gastos'!$C14)</f>
        <v>0</v>
      </c>
      <c r="F13" s="295">
        <f>+'Resultados mensuales '!F12*(1+'Otros Gastos'!$C14)</f>
        <v>0</v>
      </c>
      <c r="G13" s="295">
        <f>+'Resultados mensuales '!G12*(1+'Otros Gastos'!$C14)</f>
        <v>0</v>
      </c>
      <c r="H13" s="295">
        <f>+'Resultados mensuales '!H12*(1+'Otros Gastos'!$C14)</f>
        <v>0</v>
      </c>
      <c r="I13" s="295">
        <f>+'Resultados mensuales '!I12*(1+'Otros Gastos'!$C14)</f>
        <v>0</v>
      </c>
      <c r="J13" s="295">
        <f>+'Resultados mensuales '!J12*(1+'Otros Gastos'!$C14)</f>
        <v>0</v>
      </c>
      <c r="K13" s="295">
        <f>+'Resultados mensuales '!K12*(1+'Otros Gastos'!$C14)</f>
        <v>0</v>
      </c>
      <c r="L13" s="295">
        <f>+'Resultados mensuales '!L12*(1+'Otros Gastos'!$C14)</f>
        <v>0</v>
      </c>
      <c r="M13" s="295">
        <f>+'Resultados mensuales '!M12*(1+'Otros Gastos'!$C14)</f>
        <v>0</v>
      </c>
      <c r="N13" s="549">
        <f>+'Resultados mensuales '!N12*(1+'Otros Gastos'!$C14)</f>
        <v>0</v>
      </c>
      <c r="O13" s="550">
        <f>+'Resultados mensuales '!O12*(1+'Otros Gastos'!$C14)</f>
        <v>0</v>
      </c>
      <c r="P13" s="295">
        <f>+'Resultados mensuales '!P12*(1+'Otros Gastos'!$C14)</f>
        <v>0</v>
      </c>
      <c r="Q13" s="295">
        <f>+'Resultados mensuales '!Q12*(1+'Otros Gastos'!$C14)</f>
        <v>0</v>
      </c>
      <c r="R13" s="295">
        <f>+'Resultados mensuales '!R12*(1+'Otros Gastos'!$C14)</f>
        <v>0</v>
      </c>
      <c r="S13" s="295">
        <f>+'Resultados mensuales '!S12*(1+'Otros Gastos'!$C14)</f>
        <v>0</v>
      </c>
      <c r="T13" s="295">
        <f>+'Resultados mensuales '!T12*(1+'Otros Gastos'!$C14)</f>
        <v>0</v>
      </c>
      <c r="U13" s="295">
        <f>+'Resultados mensuales '!U12*(1+'Otros Gastos'!$C14)</f>
        <v>0</v>
      </c>
      <c r="V13" s="295">
        <f>+'Resultados mensuales '!V12*(1+'Otros Gastos'!$C14)</f>
        <v>0</v>
      </c>
      <c r="W13" s="295">
        <f>+'Resultados mensuales '!W12*(1+'Otros Gastos'!$C14)</f>
        <v>0</v>
      </c>
      <c r="X13" s="295">
        <f>+'Resultados mensuales '!X12*(1+'Otros Gastos'!$C14)</f>
        <v>0</v>
      </c>
      <c r="Y13" s="295">
        <f>+'Resultados mensuales '!Y12*(1+'Otros Gastos'!$C14)</f>
        <v>0</v>
      </c>
      <c r="Z13" s="551">
        <f>+'Resultados mensuales '!Z12*(1+'Otros Gastos'!$C14)</f>
        <v>0</v>
      </c>
      <c r="AA13" s="548">
        <f>+'Resultados mensuales '!AA12*(1+'Otros Gastos'!$C14)</f>
        <v>0</v>
      </c>
      <c r="AB13" s="295">
        <f>+'Resultados mensuales '!AB12*(1+'Otros Gastos'!$C14)</f>
        <v>0</v>
      </c>
      <c r="AC13" s="295">
        <f>+'Resultados mensuales '!AC12*(1+'Otros Gastos'!$C14)</f>
        <v>0</v>
      </c>
      <c r="AD13" s="295">
        <f>+'Resultados mensuales '!AD12*(1+'Otros Gastos'!$C14)</f>
        <v>0</v>
      </c>
      <c r="AE13" s="295">
        <f>+'Resultados mensuales '!AE12*(1+'Otros Gastos'!$C14)</f>
        <v>0</v>
      </c>
      <c r="AF13" s="295">
        <f>+'Resultados mensuales '!AF12*(1+'Otros Gastos'!$C14)</f>
        <v>0</v>
      </c>
      <c r="AG13" s="295">
        <f>+'Resultados mensuales '!AG12*(1+'Otros Gastos'!$C14)</f>
        <v>0</v>
      </c>
      <c r="AH13" s="295">
        <f>+'Resultados mensuales '!AH12*(1+'Otros Gastos'!$C14)</f>
        <v>0</v>
      </c>
      <c r="AI13" s="295">
        <f>+'Resultados mensuales '!AI12*(1+'Otros Gastos'!$C14)</f>
        <v>0</v>
      </c>
      <c r="AJ13" s="295">
        <f>+'Resultados mensuales '!AJ12*(1+'Otros Gastos'!$C14)</f>
        <v>0</v>
      </c>
      <c r="AK13" s="295">
        <f>+'Resultados mensuales '!AK12*(1+'Otros Gastos'!$C14)</f>
        <v>0</v>
      </c>
      <c r="AL13" s="549">
        <f>+'Resultados mensuales '!AL12*(1+'Otros Gastos'!$C14)</f>
        <v>0</v>
      </c>
    </row>
    <row r="14" spans="2:39">
      <c r="B14" s="124">
        <f>+'Resultados mensuales '!B13</f>
        <v>0</v>
      </c>
      <c r="C14" s="548">
        <f>+'Resultados mensuales '!C13*(1+'Otros Gastos'!$C15)</f>
        <v>0</v>
      </c>
      <c r="D14" s="295">
        <f>+'Resultados mensuales '!D13*(1+'Otros Gastos'!$C15)</f>
        <v>0</v>
      </c>
      <c r="E14" s="295">
        <f>+'Resultados mensuales '!E13*(1+'Otros Gastos'!$C15)</f>
        <v>0</v>
      </c>
      <c r="F14" s="295">
        <f>+'Resultados mensuales '!F13*(1+'Otros Gastos'!$C15)</f>
        <v>0</v>
      </c>
      <c r="G14" s="295">
        <f>+'Resultados mensuales '!G13*(1+'Otros Gastos'!$C15)</f>
        <v>0</v>
      </c>
      <c r="H14" s="295">
        <f>+'Resultados mensuales '!H13*(1+'Otros Gastos'!$C15)</f>
        <v>0</v>
      </c>
      <c r="I14" s="295">
        <f>+'Resultados mensuales '!I13*(1+'Otros Gastos'!$C15)</f>
        <v>0</v>
      </c>
      <c r="J14" s="295">
        <f>+'Resultados mensuales '!J13*(1+'Otros Gastos'!$C15)</f>
        <v>0</v>
      </c>
      <c r="K14" s="295">
        <f>+'Resultados mensuales '!K13*(1+'Otros Gastos'!$C15)</f>
        <v>0</v>
      </c>
      <c r="L14" s="295">
        <f>+'Resultados mensuales '!L13*(1+'Otros Gastos'!$C15)</f>
        <v>0</v>
      </c>
      <c r="M14" s="295">
        <f>+'Resultados mensuales '!M13*(1+'Otros Gastos'!$C15)</f>
        <v>0</v>
      </c>
      <c r="N14" s="549">
        <f>+'Resultados mensuales '!N13*(1+'Otros Gastos'!$C15)</f>
        <v>0</v>
      </c>
      <c r="O14" s="550">
        <f>+'Resultados mensuales '!O13*(1+'Otros Gastos'!$C15)</f>
        <v>0</v>
      </c>
      <c r="P14" s="295">
        <f>+'Resultados mensuales '!P13*(1+'Otros Gastos'!$C15)</f>
        <v>0</v>
      </c>
      <c r="Q14" s="295">
        <f>+'Resultados mensuales '!Q13*(1+'Otros Gastos'!$C15)</f>
        <v>0</v>
      </c>
      <c r="R14" s="295">
        <f>+'Resultados mensuales '!R13*(1+'Otros Gastos'!$C15)</f>
        <v>0</v>
      </c>
      <c r="S14" s="295">
        <f>+'Resultados mensuales '!S13*(1+'Otros Gastos'!$C15)</f>
        <v>0</v>
      </c>
      <c r="T14" s="295">
        <f>+'Resultados mensuales '!T13*(1+'Otros Gastos'!$C15)</f>
        <v>0</v>
      </c>
      <c r="U14" s="295">
        <f>+'Resultados mensuales '!U13*(1+'Otros Gastos'!$C15)</f>
        <v>0</v>
      </c>
      <c r="V14" s="295">
        <f>+'Resultados mensuales '!V13*(1+'Otros Gastos'!$C15)</f>
        <v>0</v>
      </c>
      <c r="W14" s="295">
        <f>+'Resultados mensuales '!W13*(1+'Otros Gastos'!$C15)</f>
        <v>0</v>
      </c>
      <c r="X14" s="295">
        <f>+'Resultados mensuales '!X13*(1+'Otros Gastos'!$C15)</f>
        <v>0</v>
      </c>
      <c r="Y14" s="295">
        <f>+'Resultados mensuales '!Y13*(1+'Otros Gastos'!$C15)</f>
        <v>0</v>
      </c>
      <c r="Z14" s="551">
        <f>+'Resultados mensuales '!Z13*(1+'Otros Gastos'!$C15)</f>
        <v>0</v>
      </c>
      <c r="AA14" s="548">
        <f>+'Resultados mensuales '!AA13*(1+'Otros Gastos'!$C15)</f>
        <v>0</v>
      </c>
      <c r="AB14" s="295">
        <f>+'Resultados mensuales '!AB13*(1+'Otros Gastos'!$C15)</f>
        <v>0</v>
      </c>
      <c r="AC14" s="295">
        <f>+'Resultados mensuales '!AC13*(1+'Otros Gastos'!$C15)</f>
        <v>0</v>
      </c>
      <c r="AD14" s="295">
        <f>+'Resultados mensuales '!AD13*(1+'Otros Gastos'!$C15)</f>
        <v>0</v>
      </c>
      <c r="AE14" s="295">
        <f>+'Resultados mensuales '!AE13*(1+'Otros Gastos'!$C15)</f>
        <v>0</v>
      </c>
      <c r="AF14" s="295">
        <f>+'Resultados mensuales '!AF13*(1+'Otros Gastos'!$C15)</f>
        <v>0</v>
      </c>
      <c r="AG14" s="295">
        <f>+'Resultados mensuales '!AG13*(1+'Otros Gastos'!$C15)</f>
        <v>0</v>
      </c>
      <c r="AH14" s="295">
        <f>+'Resultados mensuales '!AH13*(1+'Otros Gastos'!$C15)</f>
        <v>0</v>
      </c>
      <c r="AI14" s="295">
        <f>+'Resultados mensuales '!AI13*(1+'Otros Gastos'!$C15)</f>
        <v>0</v>
      </c>
      <c r="AJ14" s="295">
        <f>+'Resultados mensuales '!AJ13*(1+'Otros Gastos'!$C15)</f>
        <v>0</v>
      </c>
      <c r="AK14" s="295">
        <f>+'Resultados mensuales '!AK13*(1+'Otros Gastos'!$C15)</f>
        <v>0</v>
      </c>
      <c r="AL14" s="549">
        <f>+'Resultados mensuales '!AL13*(1+'Otros Gastos'!$C15)</f>
        <v>0</v>
      </c>
    </row>
    <row r="15" spans="2:39">
      <c r="B15" s="124">
        <f>+'Resultados mensuales '!B14</f>
        <v>0</v>
      </c>
      <c r="C15" s="548">
        <f>+'Resultados mensuales '!C14*(1+'Otros Gastos'!$C16)</f>
        <v>0</v>
      </c>
      <c r="D15" s="295">
        <f>+'Resultados mensuales '!D14*(1+'Otros Gastos'!$C16)</f>
        <v>0</v>
      </c>
      <c r="E15" s="295">
        <f>+'Resultados mensuales '!E14*(1+'Otros Gastos'!$C16)</f>
        <v>0</v>
      </c>
      <c r="F15" s="295">
        <f>+'Resultados mensuales '!F14*(1+'Otros Gastos'!$C16)</f>
        <v>0</v>
      </c>
      <c r="G15" s="295">
        <f>+'Resultados mensuales '!G14*(1+'Otros Gastos'!$C16)</f>
        <v>0</v>
      </c>
      <c r="H15" s="295">
        <f>+'Resultados mensuales '!H14*(1+'Otros Gastos'!$C16)</f>
        <v>0</v>
      </c>
      <c r="I15" s="295">
        <f>+'Resultados mensuales '!I14*(1+'Otros Gastos'!$C16)</f>
        <v>0</v>
      </c>
      <c r="J15" s="295">
        <f>+'Resultados mensuales '!J14*(1+'Otros Gastos'!$C16)</f>
        <v>0</v>
      </c>
      <c r="K15" s="295">
        <f>+'Resultados mensuales '!K14*(1+'Otros Gastos'!$C16)</f>
        <v>0</v>
      </c>
      <c r="L15" s="295">
        <f>+'Resultados mensuales '!L14*(1+'Otros Gastos'!$C16)</f>
        <v>0</v>
      </c>
      <c r="M15" s="295">
        <f>+'Resultados mensuales '!M14*(1+'Otros Gastos'!$C16)</f>
        <v>0</v>
      </c>
      <c r="N15" s="549">
        <f>+'Resultados mensuales '!N14*(1+'Otros Gastos'!$C16)</f>
        <v>0</v>
      </c>
      <c r="O15" s="550">
        <f>+'Resultados mensuales '!O14*(1+'Otros Gastos'!$C16)</f>
        <v>0</v>
      </c>
      <c r="P15" s="295">
        <f>+'Resultados mensuales '!P14*(1+'Otros Gastos'!$C16)</f>
        <v>0</v>
      </c>
      <c r="Q15" s="295">
        <f>+'Resultados mensuales '!Q14*(1+'Otros Gastos'!$C16)</f>
        <v>0</v>
      </c>
      <c r="R15" s="295">
        <f>+'Resultados mensuales '!R14*(1+'Otros Gastos'!$C16)</f>
        <v>0</v>
      </c>
      <c r="S15" s="295">
        <f>+'Resultados mensuales '!S14*(1+'Otros Gastos'!$C16)</f>
        <v>0</v>
      </c>
      <c r="T15" s="295">
        <f>+'Resultados mensuales '!T14*(1+'Otros Gastos'!$C16)</f>
        <v>0</v>
      </c>
      <c r="U15" s="295">
        <f>+'Resultados mensuales '!U14*(1+'Otros Gastos'!$C16)</f>
        <v>0</v>
      </c>
      <c r="V15" s="295">
        <f>+'Resultados mensuales '!V14*(1+'Otros Gastos'!$C16)</f>
        <v>0</v>
      </c>
      <c r="W15" s="295">
        <f>+'Resultados mensuales '!W14*(1+'Otros Gastos'!$C16)</f>
        <v>0</v>
      </c>
      <c r="X15" s="295">
        <f>+'Resultados mensuales '!X14*(1+'Otros Gastos'!$C16)</f>
        <v>0</v>
      </c>
      <c r="Y15" s="295">
        <f>+'Resultados mensuales '!Y14*(1+'Otros Gastos'!$C16)</f>
        <v>0</v>
      </c>
      <c r="Z15" s="551">
        <f>+'Resultados mensuales '!Z14*(1+'Otros Gastos'!$C16)</f>
        <v>0</v>
      </c>
      <c r="AA15" s="548">
        <f>+'Resultados mensuales '!AA14*(1+'Otros Gastos'!$C16)</f>
        <v>0</v>
      </c>
      <c r="AB15" s="295">
        <f>+'Resultados mensuales '!AB14*(1+'Otros Gastos'!$C16)</f>
        <v>0</v>
      </c>
      <c r="AC15" s="295">
        <f>+'Resultados mensuales '!AC14*(1+'Otros Gastos'!$C16)</f>
        <v>0</v>
      </c>
      <c r="AD15" s="295">
        <f>+'Resultados mensuales '!AD14*(1+'Otros Gastos'!$C16)</f>
        <v>0</v>
      </c>
      <c r="AE15" s="295">
        <f>+'Resultados mensuales '!AE14*(1+'Otros Gastos'!$C16)</f>
        <v>0</v>
      </c>
      <c r="AF15" s="295">
        <f>+'Resultados mensuales '!AF14*(1+'Otros Gastos'!$C16)</f>
        <v>0</v>
      </c>
      <c r="AG15" s="295">
        <f>+'Resultados mensuales '!AG14*(1+'Otros Gastos'!$C16)</f>
        <v>0</v>
      </c>
      <c r="AH15" s="295">
        <f>+'Resultados mensuales '!AH14*(1+'Otros Gastos'!$C16)</f>
        <v>0</v>
      </c>
      <c r="AI15" s="295">
        <f>+'Resultados mensuales '!AI14*(1+'Otros Gastos'!$C16)</f>
        <v>0</v>
      </c>
      <c r="AJ15" s="295">
        <f>+'Resultados mensuales '!AJ14*(1+'Otros Gastos'!$C16)</f>
        <v>0</v>
      </c>
      <c r="AK15" s="295">
        <f>+'Resultados mensuales '!AK14*(1+'Otros Gastos'!$C16)</f>
        <v>0</v>
      </c>
      <c r="AL15" s="549">
        <f>+'Resultados mensuales '!AL14*(1+'Otros Gastos'!$C16)</f>
        <v>0</v>
      </c>
    </row>
    <row r="16" spans="2:39">
      <c r="B16" s="124">
        <f>+'Resultados mensuales '!B15</f>
        <v>0</v>
      </c>
      <c r="C16" s="548">
        <f>+'Resultados mensuales '!C15*(1+'Otros Gastos'!$C17)</f>
        <v>0</v>
      </c>
      <c r="D16" s="295">
        <f>+'Resultados mensuales '!D15*(1+'Otros Gastos'!$C17)</f>
        <v>0</v>
      </c>
      <c r="E16" s="295">
        <f>+'Resultados mensuales '!E15*(1+'Otros Gastos'!$C17)</f>
        <v>0</v>
      </c>
      <c r="F16" s="295">
        <f>+'Resultados mensuales '!F15*(1+'Otros Gastos'!$C17)</f>
        <v>0</v>
      </c>
      <c r="G16" s="295">
        <f>+'Resultados mensuales '!G15*(1+'Otros Gastos'!$C17)</f>
        <v>0</v>
      </c>
      <c r="H16" s="295">
        <f>+'Resultados mensuales '!H15*(1+'Otros Gastos'!$C17)</f>
        <v>0</v>
      </c>
      <c r="I16" s="295">
        <f>+'Resultados mensuales '!I15*(1+'Otros Gastos'!$C17)</f>
        <v>0</v>
      </c>
      <c r="J16" s="295">
        <f>+'Resultados mensuales '!J15*(1+'Otros Gastos'!$C17)</f>
        <v>0</v>
      </c>
      <c r="K16" s="295">
        <f>+'Resultados mensuales '!K15*(1+'Otros Gastos'!$C17)</f>
        <v>0</v>
      </c>
      <c r="L16" s="295">
        <f>+'Resultados mensuales '!L15*(1+'Otros Gastos'!$C17)</f>
        <v>0</v>
      </c>
      <c r="M16" s="295">
        <f>+'Resultados mensuales '!M15*(1+'Otros Gastos'!$C17)</f>
        <v>0</v>
      </c>
      <c r="N16" s="549">
        <f>+'Resultados mensuales '!N15*(1+'Otros Gastos'!$C17)</f>
        <v>0</v>
      </c>
      <c r="O16" s="550">
        <f>+'Resultados mensuales '!O15*(1+'Otros Gastos'!$C17)</f>
        <v>0</v>
      </c>
      <c r="P16" s="295">
        <f>+'Resultados mensuales '!P15*(1+'Otros Gastos'!$C17)</f>
        <v>0</v>
      </c>
      <c r="Q16" s="295">
        <f>+'Resultados mensuales '!Q15*(1+'Otros Gastos'!$C17)</f>
        <v>0</v>
      </c>
      <c r="R16" s="295">
        <f>+'Resultados mensuales '!R15*(1+'Otros Gastos'!$C17)</f>
        <v>0</v>
      </c>
      <c r="S16" s="295">
        <f>+'Resultados mensuales '!S15*(1+'Otros Gastos'!$C17)</f>
        <v>0</v>
      </c>
      <c r="T16" s="295">
        <f>+'Resultados mensuales '!T15*(1+'Otros Gastos'!$C17)</f>
        <v>0</v>
      </c>
      <c r="U16" s="295">
        <f>+'Resultados mensuales '!U15*(1+'Otros Gastos'!$C17)</f>
        <v>0</v>
      </c>
      <c r="V16" s="295">
        <f>+'Resultados mensuales '!V15*(1+'Otros Gastos'!$C17)</f>
        <v>0</v>
      </c>
      <c r="W16" s="295">
        <f>+'Resultados mensuales '!W15*(1+'Otros Gastos'!$C17)</f>
        <v>0</v>
      </c>
      <c r="X16" s="295">
        <f>+'Resultados mensuales '!X15*(1+'Otros Gastos'!$C17)</f>
        <v>0</v>
      </c>
      <c r="Y16" s="295">
        <f>+'Resultados mensuales '!Y15*(1+'Otros Gastos'!$C17)</f>
        <v>0</v>
      </c>
      <c r="Z16" s="551">
        <f>+'Resultados mensuales '!Z15*(1+'Otros Gastos'!$C17)</f>
        <v>0</v>
      </c>
      <c r="AA16" s="548">
        <f>+'Resultados mensuales '!AA15*(1+'Otros Gastos'!$C17)</f>
        <v>0</v>
      </c>
      <c r="AB16" s="295">
        <f>+'Resultados mensuales '!AB15*(1+'Otros Gastos'!$C17)</f>
        <v>0</v>
      </c>
      <c r="AC16" s="295">
        <f>+'Resultados mensuales '!AC15*(1+'Otros Gastos'!$C17)</f>
        <v>0</v>
      </c>
      <c r="AD16" s="295">
        <f>+'Resultados mensuales '!AD15*(1+'Otros Gastos'!$C17)</f>
        <v>0</v>
      </c>
      <c r="AE16" s="295">
        <f>+'Resultados mensuales '!AE15*(1+'Otros Gastos'!$C17)</f>
        <v>0</v>
      </c>
      <c r="AF16" s="295">
        <f>+'Resultados mensuales '!AF15*(1+'Otros Gastos'!$C17)</f>
        <v>0</v>
      </c>
      <c r="AG16" s="295">
        <f>+'Resultados mensuales '!AG15*(1+'Otros Gastos'!$C17)</f>
        <v>0</v>
      </c>
      <c r="AH16" s="295">
        <f>+'Resultados mensuales '!AH15*(1+'Otros Gastos'!$C17)</f>
        <v>0</v>
      </c>
      <c r="AI16" s="295">
        <f>+'Resultados mensuales '!AI15*(1+'Otros Gastos'!$C17)</f>
        <v>0</v>
      </c>
      <c r="AJ16" s="295">
        <f>+'Resultados mensuales '!AJ15*(1+'Otros Gastos'!$C17)</f>
        <v>0</v>
      </c>
      <c r="AK16" s="295">
        <f>+'Resultados mensuales '!AK15*(1+'Otros Gastos'!$C17)</f>
        <v>0</v>
      </c>
      <c r="AL16" s="549">
        <f>+'Resultados mensuales '!AL15*(1+'Otros Gastos'!$C17)</f>
        <v>0</v>
      </c>
    </row>
    <row r="17" spans="2:41" s="122" customFormat="1">
      <c r="B17" s="124">
        <f>+'Resultados mensuales '!B16</f>
        <v>0</v>
      </c>
      <c r="C17" s="548">
        <f>+'Resultados mensuales '!C16*(1+'Otros Gastos'!$C18)</f>
        <v>0</v>
      </c>
      <c r="D17" s="295">
        <f>+'Resultados mensuales '!D16*(1+'Otros Gastos'!$C18)</f>
        <v>0</v>
      </c>
      <c r="E17" s="295">
        <f>+'Resultados mensuales '!E16*(1+'Otros Gastos'!$C18)</f>
        <v>0</v>
      </c>
      <c r="F17" s="295">
        <f>+'Resultados mensuales '!F16*(1+'Otros Gastos'!$C18)</f>
        <v>0</v>
      </c>
      <c r="G17" s="295">
        <f>+'Resultados mensuales '!G16*(1+'Otros Gastos'!$C18)</f>
        <v>0</v>
      </c>
      <c r="H17" s="295">
        <f>+'Resultados mensuales '!H16*(1+'Otros Gastos'!$C18)</f>
        <v>0</v>
      </c>
      <c r="I17" s="295">
        <f>+'Resultados mensuales '!I16*(1+'Otros Gastos'!$C18)</f>
        <v>0</v>
      </c>
      <c r="J17" s="295">
        <f>+'Resultados mensuales '!J16*(1+'Otros Gastos'!$C18)</f>
        <v>0</v>
      </c>
      <c r="K17" s="295">
        <f>+'Resultados mensuales '!K16*(1+'Otros Gastos'!$C18)</f>
        <v>0</v>
      </c>
      <c r="L17" s="295">
        <f>+'Resultados mensuales '!L16*(1+'Otros Gastos'!$C18)</f>
        <v>0</v>
      </c>
      <c r="M17" s="295">
        <f>+'Resultados mensuales '!M16*(1+'Otros Gastos'!$C18)</f>
        <v>0</v>
      </c>
      <c r="N17" s="549">
        <f>+'Resultados mensuales '!N16*(1+'Otros Gastos'!$C18)</f>
        <v>0</v>
      </c>
      <c r="O17" s="550">
        <f>+'Resultados mensuales '!O16*(1+'Otros Gastos'!$C18)</f>
        <v>0</v>
      </c>
      <c r="P17" s="295">
        <f>+'Resultados mensuales '!P16*(1+'Otros Gastos'!$C18)</f>
        <v>0</v>
      </c>
      <c r="Q17" s="295">
        <f>+'Resultados mensuales '!Q16*(1+'Otros Gastos'!$C18)</f>
        <v>0</v>
      </c>
      <c r="R17" s="295">
        <f>+'Resultados mensuales '!R16*(1+'Otros Gastos'!$C18)</f>
        <v>0</v>
      </c>
      <c r="S17" s="295">
        <f>+'Resultados mensuales '!S16*(1+'Otros Gastos'!$C18)</f>
        <v>0</v>
      </c>
      <c r="T17" s="295">
        <f>+'Resultados mensuales '!T16*(1+'Otros Gastos'!$C18)</f>
        <v>0</v>
      </c>
      <c r="U17" s="295">
        <f>+'Resultados mensuales '!U16*(1+'Otros Gastos'!$C18)</f>
        <v>0</v>
      </c>
      <c r="V17" s="295">
        <f>+'Resultados mensuales '!V16*(1+'Otros Gastos'!$C18)</f>
        <v>0</v>
      </c>
      <c r="W17" s="295">
        <f>+'Resultados mensuales '!W16*(1+'Otros Gastos'!$C18)</f>
        <v>0</v>
      </c>
      <c r="X17" s="295">
        <f>+'Resultados mensuales '!X16*(1+'Otros Gastos'!$C18)</f>
        <v>0</v>
      </c>
      <c r="Y17" s="295">
        <f>+'Resultados mensuales '!Y16*(1+'Otros Gastos'!$C18)</f>
        <v>0</v>
      </c>
      <c r="Z17" s="551">
        <f>+'Resultados mensuales '!Z16*(1+'Otros Gastos'!$C18)</f>
        <v>0</v>
      </c>
      <c r="AA17" s="548">
        <f>+'Resultados mensuales '!AA16*(1+'Otros Gastos'!$C18)</f>
        <v>0</v>
      </c>
      <c r="AB17" s="295">
        <f>+'Resultados mensuales '!AB16*(1+'Otros Gastos'!$C18)</f>
        <v>0</v>
      </c>
      <c r="AC17" s="295">
        <f>+'Resultados mensuales '!AC16*(1+'Otros Gastos'!$C18)</f>
        <v>0</v>
      </c>
      <c r="AD17" s="295">
        <f>+'Resultados mensuales '!AD16*(1+'Otros Gastos'!$C18)</f>
        <v>0</v>
      </c>
      <c r="AE17" s="295">
        <f>+'Resultados mensuales '!AE16*(1+'Otros Gastos'!$C18)</f>
        <v>0</v>
      </c>
      <c r="AF17" s="295">
        <f>+'Resultados mensuales '!AF16*(1+'Otros Gastos'!$C18)</f>
        <v>0</v>
      </c>
      <c r="AG17" s="295">
        <f>+'Resultados mensuales '!AG16*(1+'Otros Gastos'!$C18)</f>
        <v>0</v>
      </c>
      <c r="AH17" s="295">
        <f>+'Resultados mensuales '!AH16*(1+'Otros Gastos'!$C18)</f>
        <v>0</v>
      </c>
      <c r="AI17" s="295">
        <f>+'Resultados mensuales '!AI16*(1+'Otros Gastos'!$C18)</f>
        <v>0</v>
      </c>
      <c r="AJ17" s="295">
        <f>+'Resultados mensuales '!AJ16*(1+'Otros Gastos'!$C18)</f>
        <v>0</v>
      </c>
      <c r="AK17" s="295">
        <f>+'Resultados mensuales '!AK16*(1+'Otros Gastos'!$C18)</f>
        <v>0</v>
      </c>
      <c r="AL17" s="549">
        <f>+'Resultados mensuales '!AL16*(1+'Otros Gastos'!$C18)</f>
        <v>0</v>
      </c>
    </row>
    <row r="18" spans="2:41">
      <c r="B18" s="124">
        <f>+'Resultados mensuales '!B17</f>
        <v>0</v>
      </c>
      <c r="C18" s="548">
        <f>+'Resultados mensuales '!C17*(1+'Otros Gastos'!$C19)</f>
        <v>0</v>
      </c>
      <c r="D18" s="295">
        <f>+'Resultados mensuales '!D17*(1+'Otros Gastos'!$C19)</f>
        <v>0</v>
      </c>
      <c r="E18" s="295">
        <f>+'Resultados mensuales '!E17*(1+'Otros Gastos'!$C19)</f>
        <v>0</v>
      </c>
      <c r="F18" s="295">
        <f>+'Resultados mensuales '!F17*(1+'Otros Gastos'!$C19)</f>
        <v>0</v>
      </c>
      <c r="G18" s="295">
        <f>+'Resultados mensuales '!G17*(1+'Otros Gastos'!$C19)</f>
        <v>0</v>
      </c>
      <c r="H18" s="295">
        <f>+'Resultados mensuales '!H17*(1+'Otros Gastos'!$C19)</f>
        <v>0</v>
      </c>
      <c r="I18" s="295">
        <f>+'Resultados mensuales '!I17*(1+'Otros Gastos'!$C19)</f>
        <v>0</v>
      </c>
      <c r="J18" s="295">
        <f>+'Resultados mensuales '!J17*(1+'Otros Gastos'!$C19)</f>
        <v>0</v>
      </c>
      <c r="K18" s="295">
        <f>+'Resultados mensuales '!K17*(1+'Otros Gastos'!$C19)</f>
        <v>0</v>
      </c>
      <c r="L18" s="295">
        <f>+'Resultados mensuales '!L17*(1+'Otros Gastos'!$C19)</f>
        <v>0</v>
      </c>
      <c r="M18" s="295">
        <f>+'Resultados mensuales '!M17*(1+'Otros Gastos'!$C19)</f>
        <v>0</v>
      </c>
      <c r="N18" s="549">
        <f>+'Resultados mensuales '!N17*(1+'Otros Gastos'!$C19)</f>
        <v>0</v>
      </c>
      <c r="O18" s="550">
        <f>+'Resultados mensuales '!O17*(1+'Otros Gastos'!$C19)</f>
        <v>0</v>
      </c>
      <c r="P18" s="295">
        <f>+'Resultados mensuales '!P17*(1+'Otros Gastos'!$C19)</f>
        <v>0</v>
      </c>
      <c r="Q18" s="295">
        <f>+'Resultados mensuales '!Q17*(1+'Otros Gastos'!$C19)</f>
        <v>0</v>
      </c>
      <c r="R18" s="295">
        <f>+'Resultados mensuales '!R17*(1+'Otros Gastos'!$C19)</f>
        <v>0</v>
      </c>
      <c r="S18" s="295">
        <f>+'Resultados mensuales '!S17*(1+'Otros Gastos'!$C19)</f>
        <v>0</v>
      </c>
      <c r="T18" s="295">
        <f>+'Resultados mensuales '!T17*(1+'Otros Gastos'!$C19)</f>
        <v>0</v>
      </c>
      <c r="U18" s="295">
        <f>+'Resultados mensuales '!U17*(1+'Otros Gastos'!$C19)</f>
        <v>0</v>
      </c>
      <c r="V18" s="295">
        <f>+'Resultados mensuales '!V17*(1+'Otros Gastos'!$C19)</f>
        <v>0</v>
      </c>
      <c r="W18" s="295">
        <f>+'Resultados mensuales '!W17*(1+'Otros Gastos'!$C19)</f>
        <v>0</v>
      </c>
      <c r="X18" s="295">
        <f>+'Resultados mensuales '!X17*(1+'Otros Gastos'!$C19)</f>
        <v>0</v>
      </c>
      <c r="Y18" s="295">
        <f>+'Resultados mensuales '!Y17*(1+'Otros Gastos'!$C19)</f>
        <v>0</v>
      </c>
      <c r="Z18" s="551">
        <f>+'Resultados mensuales '!Z17*(1+'Otros Gastos'!$C19)</f>
        <v>0</v>
      </c>
      <c r="AA18" s="548">
        <f>+'Resultados mensuales '!AA17*(1+'Otros Gastos'!$C19)</f>
        <v>0</v>
      </c>
      <c r="AB18" s="295">
        <f>+'Resultados mensuales '!AB17*(1+'Otros Gastos'!$C19)</f>
        <v>0</v>
      </c>
      <c r="AC18" s="295">
        <f>+'Resultados mensuales '!AC17*(1+'Otros Gastos'!$C19)</f>
        <v>0</v>
      </c>
      <c r="AD18" s="295">
        <f>+'Resultados mensuales '!AD17*(1+'Otros Gastos'!$C19)</f>
        <v>0</v>
      </c>
      <c r="AE18" s="295">
        <f>+'Resultados mensuales '!AE17*(1+'Otros Gastos'!$C19)</f>
        <v>0</v>
      </c>
      <c r="AF18" s="295">
        <f>+'Resultados mensuales '!AF17*(1+'Otros Gastos'!$C19)</f>
        <v>0</v>
      </c>
      <c r="AG18" s="295">
        <f>+'Resultados mensuales '!AG17*(1+'Otros Gastos'!$C19)</f>
        <v>0</v>
      </c>
      <c r="AH18" s="295">
        <f>+'Resultados mensuales '!AH17*(1+'Otros Gastos'!$C19)</f>
        <v>0</v>
      </c>
      <c r="AI18" s="295">
        <f>+'Resultados mensuales '!AI17*(1+'Otros Gastos'!$C19)</f>
        <v>0</v>
      </c>
      <c r="AJ18" s="295">
        <f>+'Resultados mensuales '!AJ17*(1+'Otros Gastos'!$C19)</f>
        <v>0</v>
      </c>
      <c r="AK18" s="295">
        <f>+'Resultados mensuales '!AK17*(1+'Otros Gastos'!$C19)</f>
        <v>0</v>
      </c>
      <c r="AL18" s="549">
        <f>+'Resultados mensuales '!AL17*(1+'Otros Gastos'!$C19)</f>
        <v>0</v>
      </c>
    </row>
    <row r="19" spans="2:41" hidden="1" outlineLevel="1">
      <c r="B19" s="124">
        <f>+'Resultados mensuales '!B18</f>
        <v>0</v>
      </c>
      <c r="C19" s="548">
        <f>+'Resultados mensuales '!C18*(1+'Otros Gastos'!$C20)</f>
        <v>0</v>
      </c>
      <c r="D19" s="295">
        <f>+'Resultados mensuales '!D18*(1+'Otros Gastos'!$C20)</f>
        <v>0</v>
      </c>
      <c r="E19" s="295">
        <f>+'Resultados mensuales '!E18*(1+'Otros Gastos'!$C20)</f>
        <v>0</v>
      </c>
      <c r="F19" s="295">
        <f>+'Resultados mensuales '!F18*(1+'Otros Gastos'!$C20)</f>
        <v>0</v>
      </c>
      <c r="G19" s="295">
        <f>+'Resultados mensuales '!G18*(1+'Otros Gastos'!$C20)</f>
        <v>0</v>
      </c>
      <c r="H19" s="295">
        <f>+'Resultados mensuales '!H18*(1+'Otros Gastos'!$C20)</f>
        <v>0</v>
      </c>
      <c r="I19" s="295">
        <f>+'Resultados mensuales '!I18*(1+'Otros Gastos'!$C20)</f>
        <v>0</v>
      </c>
      <c r="J19" s="295">
        <f>+'Resultados mensuales '!J18*(1+'Otros Gastos'!$C20)</f>
        <v>0</v>
      </c>
      <c r="K19" s="295">
        <f>+'Resultados mensuales '!K18*(1+'Otros Gastos'!$C20)</f>
        <v>0</v>
      </c>
      <c r="L19" s="295">
        <f>+'Resultados mensuales '!L18*(1+'Otros Gastos'!$C20)</f>
        <v>0</v>
      </c>
      <c r="M19" s="295">
        <f>+'Resultados mensuales '!M18*(1+'Otros Gastos'!$C20)</f>
        <v>0</v>
      </c>
      <c r="N19" s="549">
        <f>+'Resultados mensuales '!N18*(1+'Otros Gastos'!$C20)</f>
        <v>0</v>
      </c>
      <c r="O19" s="550">
        <f>+'Resultados mensuales '!O18*(1+'Otros Gastos'!$C20)</f>
        <v>0</v>
      </c>
      <c r="P19" s="295">
        <f>+'Resultados mensuales '!P18*(1+'Otros Gastos'!$C20)</f>
        <v>0</v>
      </c>
      <c r="Q19" s="295">
        <f>+'Resultados mensuales '!Q18*(1+'Otros Gastos'!$C20)</f>
        <v>0</v>
      </c>
      <c r="R19" s="295">
        <f>+'Resultados mensuales '!R18*(1+'Otros Gastos'!$C20)</f>
        <v>0</v>
      </c>
      <c r="S19" s="295">
        <f>+'Resultados mensuales '!S18*(1+'Otros Gastos'!$C20)</f>
        <v>0</v>
      </c>
      <c r="T19" s="295">
        <f>+'Resultados mensuales '!T18*(1+'Otros Gastos'!$C20)</f>
        <v>0</v>
      </c>
      <c r="U19" s="295">
        <f>+'Resultados mensuales '!U18*(1+'Otros Gastos'!$C20)</f>
        <v>0</v>
      </c>
      <c r="V19" s="295">
        <f>+'Resultados mensuales '!V18*(1+'Otros Gastos'!$C20)</f>
        <v>0</v>
      </c>
      <c r="W19" s="295">
        <f>+'Resultados mensuales '!W18*(1+'Otros Gastos'!$C20)</f>
        <v>0</v>
      </c>
      <c r="X19" s="295">
        <f>+'Resultados mensuales '!X18*(1+'Otros Gastos'!$C20)</f>
        <v>0</v>
      </c>
      <c r="Y19" s="295">
        <f>+'Resultados mensuales '!Y18*(1+'Otros Gastos'!$C20)</f>
        <v>0</v>
      </c>
      <c r="Z19" s="551">
        <f>+'Resultados mensuales '!Z18*(1+'Otros Gastos'!$C20)</f>
        <v>0</v>
      </c>
      <c r="AA19" s="548">
        <f>+'Resultados mensuales '!AA18*(1+'Otros Gastos'!$C20)</f>
        <v>0</v>
      </c>
      <c r="AB19" s="295">
        <f>+'Resultados mensuales '!AB18*(1+'Otros Gastos'!$C20)</f>
        <v>0</v>
      </c>
      <c r="AC19" s="295">
        <f>+'Resultados mensuales '!AC18*(1+'Otros Gastos'!$C20)</f>
        <v>0</v>
      </c>
      <c r="AD19" s="295">
        <f>+'Resultados mensuales '!AD18*(1+'Otros Gastos'!$C20)</f>
        <v>0</v>
      </c>
      <c r="AE19" s="295">
        <f>+'Resultados mensuales '!AE18*(1+'Otros Gastos'!$C20)</f>
        <v>0</v>
      </c>
      <c r="AF19" s="295">
        <f>+'Resultados mensuales '!AF18*(1+'Otros Gastos'!$C20)</f>
        <v>0</v>
      </c>
      <c r="AG19" s="295">
        <f>+'Resultados mensuales '!AG18*(1+'Otros Gastos'!$C20)</f>
        <v>0</v>
      </c>
      <c r="AH19" s="295">
        <f>+'Resultados mensuales '!AH18*(1+'Otros Gastos'!$C20)</f>
        <v>0</v>
      </c>
      <c r="AI19" s="295">
        <f>+'Resultados mensuales '!AI18*(1+'Otros Gastos'!$C20)</f>
        <v>0</v>
      </c>
      <c r="AJ19" s="295">
        <f>+'Resultados mensuales '!AJ18*(1+'Otros Gastos'!$C20)</f>
        <v>0</v>
      </c>
      <c r="AK19" s="295">
        <f>+'Resultados mensuales '!AK18*(1+'Otros Gastos'!$C20)</f>
        <v>0</v>
      </c>
      <c r="AL19" s="549">
        <f>+'Resultados mensuales '!AL18*(1+'Otros Gastos'!$C20)</f>
        <v>0</v>
      </c>
    </row>
    <row r="20" spans="2:41" hidden="1" outlineLevel="1">
      <c r="B20" s="124">
        <f>+'Resultados mensuales '!B19</f>
        <v>0</v>
      </c>
      <c r="C20" s="548">
        <f>+'Resultados mensuales '!C19*(1+'Otros Gastos'!$C21)</f>
        <v>0</v>
      </c>
      <c r="D20" s="295">
        <f>+'Resultados mensuales '!D19*(1+'Otros Gastos'!$C21)</f>
        <v>0</v>
      </c>
      <c r="E20" s="295">
        <f>+'Resultados mensuales '!E19*(1+'Otros Gastos'!$C21)</f>
        <v>0</v>
      </c>
      <c r="F20" s="295">
        <f>+'Resultados mensuales '!F19*(1+'Otros Gastos'!$C21)</f>
        <v>0</v>
      </c>
      <c r="G20" s="295">
        <f>+'Resultados mensuales '!G19*(1+'Otros Gastos'!$C21)</f>
        <v>0</v>
      </c>
      <c r="H20" s="295">
        <f>+'Resultados mensuales '!H19*(1+'Otros Gastos'!$C21)</f>
        <v>0</v>
      </c>
      <c r="I20" s="295">
        <f>+'Resultados mensuales '!I19*(1+'Otros Gastos'!$C21)</f>
        <v>0</v>
      </c>
      <c r="J20" s="295">
        <f>+'Resultados mensuales '!J19*(1+'Otros Gastos'!$C21)</f>
        <v>0</v>
      </c>
      <c r="K20" s="295">
        <f>+'Resultados mensuales '!K19*(1+'Otros Gastos'!$C21)</f>
        <v>0</v>
      </c>
      <c r="L20" s="295">
        <f>+'Resultados mensuales '!L19*(1+'Otros Gastos'!$C21)</f>
        <v>0</v>
      </c>
      <c r="M20" s="295">
        <f>+'Resultados mensuales '!M19*(1+'Otros Gastos'!$C21)</f>
        <v>0</v>
      </c>
      <c r="N20" s="549">
        <f>+'Resultados mensuales '!N19*(1+'Otros Gastos'!$C21)</f>
        <v>0</v>
      </c>
      <c r="O20" s="550">
        <f>+'Resultados mensuales '!O19*(1+'Otros Gastos'!$C21)</f>
        <v>0</v>
      </c>
      <c r="P20" s="295">
        <f>+'Resultados mensuales '!P19*(1+'Otros Gastos'!$C21)</f>
        <v>0</v>
      </c>
      <c r="Q20" s="295">
        <f>+'Resultados mensuales '!Q19*(1+'Otros Gastos'!$C21)</f>
        <v>0</v>
      </c>
      <c r="R20" s="295">
        <f>+'Resultados mensuales '!R19*(1+'Otros Gastos'!$C21)</f>
        <v>0</v>
      </c>
      <c r="S20" s="295">
        <f>+'Resultados mensuales '!S19*(1+'Otros Gastos'!$C21)</f>
        <v>0</v>
      </c>
      <c r="T20" s="295">
        <f>+'Resultados mensuales '!T19*(1+'Otros Gastos'!$C21)</f>
        <v>0</v>
      </c>
      <c r="U20" s="295">
        <f>+'Resultados mensuales '!U19*(1+'Otros Gastos'!$C21)</f>
        <v>0</v>
      </c>
      <c r="V20" s="295">
        <f>+'Resultados mensuales '!V19*(1+'Otros Gastos'!$C21)</f>
        <v>0</v>
      </c>
      <c r="W20" s="295">
        <f>+'Resultados mensuales '!W19*(1+'Otros Gastos'!$C21)</f>
        <v>0</v>
      </c>
      <c r="X20" s="295">
        <f>+'Resultados mensuales '!X19*(1+'Otros Gastos'!$C21)</f>
        <v>0</v>
      </c>
      <c r="Y20" s="295">
        <f>+'Resultados mensuales '!Y19*(1+'Otros Gastos'!$C21)</f>
        <v>0</v>
      </c>
      <c r="Z20" s="551">
        <f>+'Resultados mensuales '!Z19*(1+'Otros Gastos'!$C21)</f>
        <v>0</v>
      </c>
      <c r="AA20" s="548">
        <f>+'Resultados mensuales '!AA19*(1+'Otros Gastos'!$C21)</f>
        <v>0</v>
      </c>
      <c r="AB20" s="295">
        <f>+'Resultados mensuales '!AB19*(1+'Otros Gastos'!$C21)</f>
        <v>0</v>
      </c>
      <c r="AC20" s="295">
        <f>+'Resultados mensuales '!AC19*(1+'Otros Gastos'!$C21)</f>
        <v>0</v>
      </c>
      <c r="AD20" s="295">
        <f>+'Resultados mensuales '!AD19*(1+'Otros Gastos'!$C21)</f>
        <v>0</v>
      </c>
      <c r="AE20" s="295">
        <f>+'Resultados mensuales '!AE19*(1+'Otros Gastos'!$C21)</f>
        <v>0</v>
      </c>
      <c r="AF20" s="295">
        <f>+'Resultados mensuales '!AF19*(1+'Otros Gastos'!$C21)</f>
        <v>0</v>
      </c>
      <c r="AG20" s="295">
        <f>+'Resultados mensuales '!AG19*(1+'Otros Gastos'!$C21)</f>
        <v>0</v>
      </c>
      <c r="AH20" s="295">
        <f>+'Resultados mensuales '!AH19*(1+'Otros Gastos'!$C21)</f>
        <v>0</v>
      </c>
      <c r="AI20" s="295">
        <f>+'Resultados mensuales '!AI19*(1+'Otros Gastos'!$C21)</f>
        <v>0</v>
      </c>
      <c r="AJ20" s="295">
        <f>+'Resultados mensuales '!AJ19*(1+'Otros Gastos'!$C21)</f>
        <v>0</v>
      </c>
      <c r="AK20" s="295">
        <f>+'Resultados mensuales '!AK19*(1+'Otros Gastos'!$C21)</f>
        <v>0</v>
      </c>
      <c r="AL20" s="549">
        <f>+'Resultados mensuales '!AL19*(1+'Otros Gastos'!$C21)</f>
        <v>0</v>
      </c>
      <c r="AO20" s="117" t="s">
        <v>46</v>
      </c>
    </row>
    <row r="21" spans="2:41" hidden="1" outlineLevel="1">
      <c r="B21" s="124">
        <f>+'Resultados mensuales '!B20</f>
        <v>0</v>
      </c>
      <c r="C21" s="548">
        <f>+'Resultados mensuales '!C20*(1+'Otros Gastos'!$C22)</f>
        <v>0</v>
      </c>
      <c r="D21" s="295">
        <f>+'Resultados mensuales '!D20*(1+'Otros Gastos'!$C22)</f>
        <v>0</v>
      </c>
      <c r="E21" s="295">
        <f>+'Resultados mensuales '!E20*(1+'Otros Gastos'!$C22)</f>
        <v>0</v>
      </c>
      <c r="F21" s="295">
        <f>+'Resultados mensuales '!F20*(1+'Otros Gastos'!$C22)</f>
        <v>0</v>
      </c>
      <c r="G21" s="295">
        <f>+'Resultados mensuales '!G20*(1+'Otros Gastos'!$C22)</f>
        <v>0</v>
      </c>
      <c r="H21" s="295">
        <f>+'Resultados mensuales '!H20*(1+'Otros Gastos'!$C22)</f>
        <v>0</v>
      </c>
      <c r="I21" s="295">
        <f>+'Resultados mensuales '!I20*(1+'Otros Gastos'!$C22)</f>
        <v>0</v>
      </c>
      <c r="J21" s="295">
        <f>+'Resultados mensuales '!J20*(1+'Otros Gastos'!$C22)</f>
        <v>0</v>
      </c>
      <c r="K21" s="295">
        <f>+'Resultados mensuales '!K20*(1+'Otros Gastos'!$C22)</f>
        <v>0</v>
      </c>
      <c r="L21" s="295">
        <f>+'Resultados mensuales '!L20*(1+'Otros Gastos'!$C22)</f>
        <v>0</v>
      </c>
      <c r="M21" s="295">
        <f>+'Resultados mensuales '!M20*(1+'Otros Gastos'!$C22)</f>
        <v>0</v>
      </c>
      <c r="N21" s="549">
        <f>+'Resultados mensuales '!N20*(1+'Otros Gastos'!$C22)</f>
        <v>0</v>
      </c>
      <c r="O21" s="550">
        <f>+'Resultados mensuales '!O20*(1+'Otros Gastos'!$C22)</f>
        <v>0</v>
      </c>
      <c r="P21" s="295">
        <f>+'Resultados mensuales '!P20*(1+'Otros Gastos'!$C22)</f>
        <v>0</v>
      </c>
      <c r="Q21" s="295">
        <f>+'Resultados mensuales '!Q20*(1+'Otros Gastos'!$C22)</f>
        <v>0</v>
      </c>
      <c r="R21" s="295">
        <f>+'Resultados mensuales '!R20*(1+'Otros Gastos'!$C22)</f>
        <v>0</v>
      </c>
      <c r="S21" s="295">
        <f>+'Resultados mensuales '!S20*(1+'Otros Gastos'!$C22)</f>
        <v>0</v>
      </c>
      <c r="T21" s="295">
        <f>+'Resultados mensuales '!T20*(1+'Otros Gastos'!$C22)</f>
        <v>0</v>
      </c>
      <c r="U21" s="295">
        <f>+'Resultados mensuales '!U20*(1+'Otros Gastos'!$C22)</f>
        <v>0</v>
      </c>
      <c r="V21" s="295">
        <f>+'Resultados mensuales '!V20*(1+'Otros Gastos'!$C22)</f>
        <v>0</v>
      </c>
      <c r="W21" s="295">
        <f>+'Resultados mensuales '!W20*(1+'Otros Gastos'!$C22)</f>
        <v>0</v>
      </c>
      <c r="X21" s="295">
        <f>+'Resultados mensuales '!X20*(1+'Otros Gastos'!$C22)</f>
        <v>0</v>
      </c>
      <c r="Y21" s="295">
        <f>+'Resultados mensuales '!Y20*(1+'Otros Gastos'!$C22)</f>
        <v>0</v>
      </c>
      <c r="Z21" s="551">
        <f>+'Resultados mensuales '!Z20*(1+'Otros Gastos'!$C22)</f>
        <v>0</v>
      </c>
      <c r="AA21" s="548">
        <f>+'Resultados mensuales '!AA20*(1+'Otros Gastos'!$C22)</f>
        <v>0</v>
      </c>
      <c r="AB21" s="295">
        <f>+'Resultados mensuales '!AB20*(1+'Otros Gastos'!$C22)</f>
        <v>0</v>
      </c>
      <c r="AC21" s="295">
        <f>+'Resultados mensuales '!AC20*(1+'Otros Gastos'!$C22)</f>
        <v>0</v>
      </c>
      <c r="AD21" s="295">
        <f>+'Resultados mensuales '!AD20*(1+'Otros Gastos'!$C22)</f>
        <v>0</v>
      </c>
      <c r="AE21" s="295">
        <f>+'Resultados mensuales '!AE20*(1+'Otros Gastos'!$C22)</f>
        <v>0</v>
      </c>
      <c r="AF21" s="295">
        <f>+'Resultados mensuales '!AF20*(1+'Otros Gastos'!$C22)</f>
        <v>0</v>
      </c>
      <c r="AG21" s="295">
        <f>+'Resultados mensuales '!AG20*(1+'Otros Gastos'!$C22)</f>
        <v>0</v>
      </c>
      <c r="AH21" s="295">
        <f>+'Resultados mensuales '!AH20*(1+'Otros Gastos'!$C22)</f>
        <v>0</v>
      </c>
      <c r="AI21" s="295">
        <f>+'Resultados mensuales '!AI20*(1+'Otros Gastos'!$C22)</f>
        <v>0</v>
      </c>
      <c r="AJ21" s="295">
        <f>+'Resultados mensuales '!AJ20*(1+'Otros Gastos'!$C22)</f>
        <v>0</v>
      </c>
      <c r="AK21" s="295">
        <f>+'Resultados mensuales '!AK20*(1+'Otros Gastos'!$C22)</f>
        <v>0</v>
      </c>
      <c r="AL21" s="549">
        <f>+'Resultados mensuales '!AL20*(1+'Otros Gastos'!$C22)</f>
        <v>0</v>
      </c>
    </row>
    <row r="22" spans="2:41" hidden="1" outlineLevel="1">
      <c r="B22" s="124">
        <f>+'Resultados mensuales '!B21</f>
        <v>0</v>
      </c>
      <c r="C22" s="548">
        <f>+'Resultados mensuales '!C21*(1+'Otros Gastos'!$C23)</f>
        <v>0</v>
      </c>
      <c r="D22" s="295">
        <f>+'Resultados mensuales '!D21*(1+'Otros Gastos'!$C23)</f>
        <v>0</v>
      </c>
      <c r="E22" s="295">
        <f>+'Resultados mensuales '!E21*(1+'Otros Gastos'!$C23)</f>
        <v>0</v>
      </c>
      <c r="F22" s="295">
        <f>+'Resultados mensuales '!F21*(1+'Otros Gastos'!$C23)</f>
        <v>0</v>
      </c>
      <c r="G22" s="295">
        <f>+'Resultados mensuales '!G21*(1+'Otros Gastos'!$C23)</f>
        <v>0</v>
      </c>
      <c r="H22" s="295">
        <f>+'Resultados mensuales '!H21*(1+'Otros Gastos'!$C23)</f>
        <v>0</v>
      </c>
      <c r="I22" s="295">
        <f>+'Resultados mensuales '!I21*(1+'Otros Gastos'!$C23)</f>
        <v>0</v>
      </c>
      <c r="J22" s="295">
        <f>+'Resultados mensuales '!J21*(1+'Otros Gastos'!$C23)</f>
        <v>0</v>
      </c>
      <c r="K22" s="295">
        <f>+'Resultados mensuales '!K21*(1+'Otros Gastos'!$C23)</f>
        <v>0</v>
      </c>
      <c r="L22" s="295">
        <f>+'Resultados mensuales '!L21*(1+'Otros Gastos'!$C23)</f>
        <v>0</v>
      </c>
      <c r="M22" s="295">
        <f>+'Resultados mensuales '!M21*(1+'Otros Gastos'!$C23)</f>
        <v>0</v>
      </c>
      <c r="N22" s="549">
        <f>+'Resultados mensuales '!N21*(1+'Otros Gastos'!$C23)</f>
        <v>0</v>
      </c>
      <c r="O22" s="550">
        <f>+'Resultados mensuales '!O21*(1+'Otros Gastos'!$C23)</f>
        <v>0</v>
      </c>
      <c r="P22" s="295">
        <f>+'Resultados mensuales '!P21*(1+'Otros Gastos'!$C23)</f>
        <v>0</v>
      </c>
      <c r="Q22" s="295">
        <f>+'Resultados mensuales '!Q21*(1+'Otros Gastos'!$C23)</f>
        <v>0</v>
      </c>
      <c r="R22" s="295">
        <f>+'Resultados mensuales '!R21*(1+'Otros Gastos'!$C23)</f>
        <v>0</v>
      </c>
      <c r="S22" s="295">
        <f>+'Resultados mensuales '!S21*(1+'Otros Gastos'!$C23)</f>
        <v>0</v>
      </c>
      <c r="T22" s="295">
        <f>+'Resultados mensuales '!T21*(1+'Otros Gastos'!$C23)</f>
        <v>0</v>
      </c>
      <c r="U22" s="295">
        <f>+'Resultados mensuales '!U21*(1+'Otros Gastos'!$C23)</f>
        <v>0</v>
      </c>
      <c r="V22" s="295">
        <f>+'Resultados mensuales '!V21*(1+'Otros Gastos'!$C23)</f>
        <v>0</v>
      </c>
      <c r="W22" s="295">
        <f>+'Resultados mensuales '!W21*(1+'Otros Gastos'!$C23)</f>
        <v>0</v>
      </c>
      <c r="X22" s="295">
        <f>+'Resultados mensuales '!X21*(1+'Otros Gastos'!$C23)</f>
        <v>0</v>
      </c>
      <c r="Y22" s="295">
        <f>+'Resultados mensuales '!Y21*(1+'Otros Gastos'!$C23)</f>
        <v>0</v>
      </c>
      <c r="Z22" s="551">
        <f>+'Resultados mensuales '!Z21*(1+'Otros Gastos'!$C23)</f>
        <v>0</v>
      </c>
      <c r="AA22" s="548">
        <f>+'Resultados mensuales '!AA21*(1+'Otros Gastos'!$C23)</f>
        <v>0</v>
      </c>
      <c r="AB22" s="295">
        <f>+'Resultados mensuales '!AB21*(1+'Otros Gastos'!$C23)</f>
        <v>0</v>
      </c>
      <c r="AC22" s="295">
        <f>+'Resultados mensuales '!AC21*(1+'Otros Gastos'!$C23)</f>
        <v>0</v>
      </c>
      <c r="AD22" s="295">
        <f>+'Resultados mensuales '!AD21*(1+'Otros Gastos'!$C23)</f>
        <v>0</v>
      </c>
      <c r="AE22" s="295">
        <f>+'Resultados mensuales '!AE21*(1+'Otros Gastos'!$C23)</f>
        <v>0</v>
      </c>
      <c r="AF22" s="295">
        <f>+'Resultados mensuales '!AF21*(1+'Otros Gastos'!$C23)</f>
        <v>0</v>
      </c>
      <c r="AG22" s="295">
        <f>+'Resultados mensuales '!AG21*(1+'Otros Gastos'!$C23)</f>
        <v>0</v>
      </c>
      <c r="AH22" s="295">
        <f>+'Resultados mensuales '!AH21*(1+'Otros Gastos'!$C23)</f>
        <v>0</v>
      </c>
      <c r="AI22" s="295">
        <f>+'Resultados mensuales '!AI21*(1+'Otros Gastos'!$C23)</f>
        <v>0</v>
      </c>
      <c r="AJ22" s="295">
        <f>+'Resultados mensuales '!AJ21*(1+'Otros Gastos'!$C23)</f>
        <v>0</v>
      </c>
      <c r="AK22" s="295">
        <f>+'Resultados mensuales '!AK21*(1+'Otros Gastos'!$C23)</f>
        <v>0</v>
      </c>
      <c r="AL22" s="549">
        <f>+'Resultados mensuales '!AL21*(1+'Otros Gastos'!$C23)</f>
        <v>0</v>
      </c>
    </row>
    <row r="23" spans="2:41" hidden="1" outlineLevel="1">
      <c r="B23" s="124">
        <f>+'Resultados mensuales '!B22</f>
        <v>0</v>
      </c>
      <c r="C23" s="548">
        <f>+'Resultados mensuales '!C22*(1+'Otros Gastos'!$C24)</f>
        <v>0</v>
      </c>
      <c r="D23" s="295">
        <f>+'Resultados mensuales '!D22*(1+'Otros Gastos'!$C24)</f>
        <v>0</v>
      </c>
      <c r="E23" s="295">
        <f>+'Resultados mensuales '!E22*(1+'Otros Gastos'!$C24)</f>
        <v>0</v>
      </c>
      <c r="F23" s="295">
        <f>+'Resultados mensuales '!F22*(1+'Otros Gastos'!$C24)</f>
        <v>0</v>
      </c>
      <c r="G23" s="295">
        <f>+'Resultados mensuales '!G22*(1+'Otros Gastos'!$C24)</f>
        <v>0</v>
      </c>
      <c r="H23" s="295">
        <f>+'Resultados mensuales '!H22*(1+'Otros Gastos'!$C24)</f>
        <v>0</v>
      </c>
      <c r="I23" s="295">
        <f>+'Resultados mensuales '!I22*(1+'Otros Gastos'!$C24)</f>
        <v>0</v>
      </c>
      <c r="J23" s="295">
        <f>+'Resultados mensuales '!J22*(1+'Otros Gastos'!$C24)</f>
        <v>0</v>
      </c>
      <c r="K23" s="295">
        <f>+'Resultados mensuales '!K22*(1+'Otros Gastos'!$C24)</f>
        <v>0</v>
      </c>
      <c r="L23" s="295">
        <f>+'Resultados mensuales '!L22*(1+'Otros Gastos'!$C24)</f>
        <v>0</v>
      </c>
      <c r="M23" s="295">
        <f>+'Resultados mensuales '!M22*(1+'Otros Gastos'!$C24)</f>
        <v>0</v>
      </c>
      <c r="N23" s="549">
        <f>+'Resultados mensuales '!N22*(1+'Otros Gastos'!$C24)</f>
        <v>0</v>
      </c>
      <c r="O23" s="550">
        <f>+'Resultados mensuales '!O22*(1+'Otros Gastos'!$C24)</f>
        <v>0</v>
      </c>
      <c r="P23" s="295">
        <f>+'Resultados mensuales '!P22*(1+'Otros Gastos'!$C24)</f>
        <v>0</v>
      </c>
      <c r="Q23" s="295">
        <f>+'Resultados mensuales '!Q22*(1+'Otros Gastos'!$C24)</f>
        <v>0</v>
      </c>
      <c r="R23" s="295">
        <f>+'Resultados mensuales '!R22*(1+'Otros Gastos'!$C24)</f>
        <v>0</v>
      </c>
      <c r="S23" s="295">
        <f>+'Resultados mensuales '!S22*(1+'Otros Gastos'!$C24)</f>
        <v>0</v>
      </c>
      <c r="T23" s="295">
        <f>+'Resultados mensuales '!T22*(1+'Otros Gastos'!$C24)</f>
        <v>0</v>
      </c>
      <c r="U23" s="295">
        <f>+'Resultados mensuales '!U22*(1+'Otros Gastos'!$C24)</f>
        <v>0</v>
      </c>
      <c r="V23" s="295">
        <f>+'Resultados mensuales '!V22*(1+'Otros Gastos'!$C24)</f>
        <v>0</v>
      </c>
      <c r="W23" s="295">
        <f>+'Resultados mensuales '!W22*(1+'Otros Gastos'!$C24)</f>
        <v>0</v>
      </c>
      <c r="X23" s="295">
        <f>+'Resultados mensuales '!X22*(1+'Otros Gastos'!$C24)</f>
        <v>0</v>
      </c>
      <c r="Y23" s="295">
        <f>+'Resultados mensuales '!Y22*(1+'Otros Gastos'!$C24)</f>
        <v>0</v>
      </c>
      <c r="Z23" s="551">
        <f>+'Resultados mensuales '!Z22*(1+'Otros Gastos'!$C24)</f>
        <v>0</v>
      </c>
      <c r="AA23" s="548">
        <f>+'Resultados mensuales '!AA22*(1+'Otros Gastos'!$C24)</f>
        <v>0</v>
      </c>
      <c r="AB23" s="295">
        <f>+'Resultados mensuales '!AB22*(1+'Otros Gastos'!$C24)</f>
        <v>0</v>
      </c>
      <c r="AC23" s="295">
        <f>+'Resultados mensuales '!AC22*(1+'Otros Gastos'!$C24)</f>
        <v>0</v>
      </c>
      <c r="AD23" s="295">
        <f>+'Resultados mensuales '!AD22*(1+'Otros Gastos'!$C24)</f>
        <v>0</v>
      </c>
      <c r="AE23" s="295">
        <f>+'Resultados mensuales '!AE22*(1+'Otros Gastos'!$C24)</f>
        <v>0</v>
      </c>
      <c r="AF23" s="295">
        <f>+'Resultados mensuales '!AF22*(1+'Otros Gastos'!$C24)</f>
        <v>0</v>
      </c>
      <c r="AG23" s="295">
        <f>+'Resultados mensuales '!AG22*(1+'Otros Gastos'!$C24)</f>
        <v>0</v>
      </c>
      <c r="AH23" s="295">
        <f>+'Resultados mensuales '!AH22*(1+'Otros Gastos'!$C24)</f>
        <v>0</v>
      </c>
      <c r="AI23" s="295">
        <f>+'Resultados mensuales '!AI22*(1+'Otros Gastos'!$C24)</f>
        <v>0</v>
      </c>
      <c r="AJ23" s="295">
        <f>+'Resultados mensuales '!AJ22*(1+'Otros Gastos'!$C24)</f>
        <v>0</v>
      </c>
      <c r="AK23" s="295">
        <f>+'Resultados mensuales '!AK22*(1+'Otros Gastos'!$C24)</f>
        <v>0</v>
      </c>
      <c r="AL23" s="549">
        <f>+'Resultados mensuales '!AL22*(1+'Otros Gastos'!$C24)</f>
        <v>0</v>
      </c>
    </row>
    <row r="24" spans="2:41" hidden="1" outlineLevel="1">
      <c r="B24" s="124">
        <f>+'Resultados mensuales '!B23</f>
        <v>0</v>
      </c>
      <c r="C24" s="548">
        <f>+'Resultados mensuales '!C23*(1+'Otros Gastos'!$C25)</f>
        <v>0</v>
      </c>
      <c r="D24" s="295">
        <f>+'Resultados mensuales '!D23*(1+'Otros Gastos'!$C25)</f>
        <v>0</v>
      </c>
      <c r="E24" s="295">
        <f>+'Resultados mensuales '!E23*(1+'Otros Gastos'!$C25)</f>
        <v>0</v>
      </c>
      <c r="F24" s="295">
        <f>+'Resultados mensuales '!F23*(1+'Otros Gastos'!$C25)</f>
        <v>0</v>
      </c>
      <c r="G24" s="295">
        <f>+'Resultados mensuales '!G23*(1+'Otros Gastos'!$C25)</f>
        <v>0</v>
      </c>
      <c r="H24" s="295">
        <f>+'Resultados mensuales '!H23*(1+'Otros Gastos'!$C25)</f>
        <v>0</v>
      </c>
      <c r="I24" s="295">
        <f>+'Resultados mensuales '!I23*(1+'Otros Gastos'!$C25)</f>
        <v>0</v>
      </c>
      <c r="J24" s="295">
        <f>+'Resultados mensuales '!J23*(1+'Otros Gastos'!$C25)</f>
        <v>0</v>
      </c>
      <c r="K24" s="295">
        <f>+'Resultados mensuales '!K23*(1+'Otros Gastos'!$C25)</f>
        <v>0</v>
      </c>
      <c r="L24" s="295">
        <f>+'Resultados mensuales '!L23*(1+'Otros Gastos'!$C25)</f>
        <v>0</v>
      </c>
      <c r="M24" s="295">
        <f>+'Resultados mensuales '!M23*(1+'Otros Gastos'!$C25)</f>
        <v>0</v>
      </c>
      <c r="N24" s="549">
        <f>+'Resultados mensuales '!N23*(1+'Otros Gastos'!$C25)</f>
        <v>0</v>
      </c>
      <c r="O24" s="550">
        <f>+'Resultados mensuales '!O23*(1+'Otros Gastos'!$C25)</f>
        <v>0</v>
      </c>
      <c r="P24" s="295">
        <f>+'Resultados mensuales '!P23*(1+'Otros Gastos'!$C25)</f>
        <v>0</v>
      </c>
      <c r="Q24" s="295">
        <f>+'Resultados mensuales '!Q23*(1+'Otros Gastos'!$C25)</f>
        <v>0</v>
      </c>
      <c r="R24" s="295">
        <f>+'Resultados mensuales '!R23*(1+'Otros Gastos'!$C25)</f>
        <v>0</v>
      </c>
      <c r="S24" s="295">
        <f>+'Resultados mensuales '!S23*(1+'Otros Gastos'!$C25)</f>
        <v>0</v>
      </c>
      <c r="T24" s="295">
        <f>+'Resultados mensuales '!T23*(1+'Otros Gastos'!$C25)</f>
        <v>0</v>
      </c>
      <c r="U24" s="295">
        <f>+'Resultados mensuales '!U23*(1+'Otros Gastos'!$C25)</f>
        <v>0</v>
      </c>
      <c r="V24" s="295">
        <f>+'Resultados mensuales '!V23*(1+'Otros Gastos'!$C25)</f>
        <v>0</v>
      </c>
      <c r="W24" s="295">
        <f>+'Resultados mensuales '!W23*(1+'Otros Gastos'!$C25)</f>
        <v>0</v>
      </c>
      <c r="X24" s="295">
        <f>+'Resultados mensuales '!X23*(1+'Otros Gastos'!$C25)</f>
        <v>0</v>
      </c>
      <c r="Y24" s="295">
        <f>+'Resultados mensuales '!Y23*(1+'Otros Gastos'!$C25)</f>
        <v>0</v>
      </c>
      <c r="Z24" s="551">
        <f>+'Resultados mensuales '!Z23*(1+'Otros Gastos'!$C25)</f>
        <v>0</v>
      </c>
      <c r="AA24" s="548">
        <f>+'Resultados mensuales '!AA23*(1+'Otros Gastos'!$C25)</f>
        <v>0</v>
      </c>
      <c r="AB24" s="295">
        <f>+'Resultados mensuales '!AB23*(1+'Otros Gastos'!$C25)</f>
        <v>0</v>
      </c>
      <c r="AC24" s="295">
        <f>+'Resultados mensuales '!AC23*(1+'Otros Gastos'!$C25)</f>
        <v>0</v>
      </c>
      <c r="AD24" s="295">
        <f>+'Resultados mensuales '!AD23*(1+'Otros Gastos'!$C25)</f>
        <v>0</v>
      </c>
      <c r="AE24" s="295">
        <f>+'Resultados mensuales '!AE23*(1+'Otros Gastos'!$C25)</f>
        <v>0</v>
      </c>
      <c r="AF24" s="295">
        <f>+'Resultados mensuales '!AF23*(1+'Otros Gastos'!$C25)</f>
        <v>0</v>
      </c>
      <c r="AG24" s="295">
        <f>+'Resultados mensuales '!AG23*(1+'Otros Gastos'!$C25)</f>
        <v>0</v>
      </c>
      <c r="AH24" s="295">
        <f>+'Resultados mensuales '!AH23*(1+'Otros Gastos'!$C25)</f>
        <v>0</v>
      </c>
      <c r="AI24" s="295">
        <f>+'Resultados mensuales '!AI23*(1+'Otros Gastos'!$C25)</f>
        <v>0</v>
      </c>
      <c r="AJ24" s="295">
        <f>+'Resultados mensuales '!AJ23*(1+'Otros Gastos'!$C25)</f>
        <v>0</v>
      </c>
      <c r="AK24" s="295">
        <f>+'Resultados mensuales '!AK23*(1+'Otros Gastos'!$C25)</f>
        <v>0</v>
      </c>
      <c r="AL24" s="549">
        <f>+'Resultados mensuales '!AL23*(1+'Otros Gastos'!$C25)</f>
        <v>0</v>
      </c>
    </row>
    <row r="25" spans="2:41" hidden="1" outlineLevel="1">
      <c r="B25" s="124">
        <f>+'Resultados mensuales '!B24</f>
        <v>0</v>
      </c>
      <c r="C25" s="548">
        <f>+'Resultados mensuales '!C24*(1+'Otros Gastos'!$C26)</f>
        <v>0</v>
      </c>
      <c r="D25" s="295">
        <f>+'Resultados mensuales '!D24*(1+'Otros Gastos'!$C26)</f>
        <v>0</v>
      </c>
      <c r="E25" s="295">
        <f>+'Resultados mensuales '!E24*(1+'Otros Gastos'!$C26)</f>
        <v>0</v>
      </c>
      <c r="F25" s="295">
        <f>+'Resultados mensuales '!F24*(1+'Otros Gastos'!$C26)</f>
        <v>0</v>
      </c>
      <c r="G25" s="295">
        <f>+'Resultados mensuales '!G24*(1+'Otros Gastos'!$C26)</f>
        <v>0</v>
      </c>
      <c r="H25" s="295">
        <f>+'Resultados mensuales '!H24*(1+'Otros Gastos'!$C26)</f>
        <v>0</v>
      </c>
      <c r="I25" s="295">
        <f>+'Resultados mensuales '!I24*(1+'Otros Gastos'!$C26)</f>
        <v>0</v>
      </c>
      <c r="J25" s="295">
        <f>+'Resultados mensuales '!J24*(1+'Otros Gastos'!$C26)</f>
        <v>0</v>
      </c>
      <c r="K25" s="295">
        <f>+'Resultados mensuales '!K24*(1+'Otros Gastos'!$C26)</f>
        <v>0</v>
      </c>
      <c r="L25" s="295">
        <f>+'Resultados mensuales '!L24*(1+'Otros Gastos'!$C26)</f>
        <v>0</v>
      </c>
      <c r="M25" s="295">
        <f>+'Resultados mensuales '!M24*(1+'Otros Gastos'!$C26)</f>
        <v>0</v>
      </c>
      <c r="N25" s="549">
        <f>+'Resultados mensuales '!N24*(1+'Otros Gastos'!$C26)</f>
        <v>0</v>
      </c>
      <c r="O25" s="550">
        <f>+'Resultados mensuales '!O24*(1+'Otros Gastos'!$C26)</f>
        <v>0</v>
      </c>
      <c r="P25" s="295">
        <f>+'Resultados mensuales '!P24*(1+'Otros Gastos'!$C26)</f>
        <v>0</v>
      </c>
      <c r="Q25" s="295">
        <f>+'Resultados mensuales '!Q24*(1+'Otros Gastos'!$C26)</f>
        <v>0</v>
      </c>
      <c r="R25" s="295">
        <f>+'Resultados mensuales '!R24*(1+'Otros Gastos'!$C26)</f>
        <v>0</v>
      </c>
      <c r="S25" s="295">
        <f>+'Resultados mensuales '!S24*(1+'Otros Gastos'!$C26)</f>
        <v>0</v>
      </c>
      <c r="T25" s="295">
        <f>+'Resultados mensuales '!T24*(1+'Otros Gastos'!$C26)</f>
        <v>0</v>
      </c>
      <c r="U25" s="295">
        <f>+'Resultados mensuales '!U24*(1+'Otros Gastos'!$C26)</f>
        <v>0</v>
      </c>
      <c r="V25" s="295">
        <f>+'Resultados mensuales '!V24*(1+'Otros Gastos'!$C26)</f>
        <v>0</v>
      </c>
      <c r="W25" s="295">
        <f>+'Resultados mensuales '!W24*(1+'Otros Gastos'!$C26)</f>
        <v>0</v>
      </c>
      <c r="X25" s="295">
        <f>+'Resultados mensuales '!X24*(1+'Otros Gastos'!$C26)</f>
        <v>0</v>
      </c>
      <c r="Y25" s="295">
        <f>+'Resultados mensuales '!Y24*(1+'Otros Gastos'!$C26)</f>
        <v>0</v>
      </c>
      <c r="Z25" s="551">
        <f>+'Resultados mensuales '!Z24*(1+'Otros Gastos'!$C26)</f>
        <v>0</v>
      </c>
      <c r="AA25" s="548">
        <f>+'Resultados mensuales '!AA24*(1+'Otros Gastos'!$C26)</f>
        <v>0</v>
      </c>
      <c r="AB25" s="295">
        <f>+'Resultados mensuales '!AB24*(1+'Otros Gastos'!$C26)</f>
        <v>0</v>
      </c>
      <c r="AC25" s="295">
        <f>+'Resultados mensuales '!AC24*(1+'Otros Gastos'!$C26)</f>
        <v>0</v>
      </c>
      <c r="AD25" s="295">
        <f>+'Resultados mensuales '!AD24*(1+'Otros Gastos'!$C26)</f>
        <v>0</v>
      </c>
      <c r="AE25" s="295">
        <f>+'Resultados mensuales '!AE24*(1+'Otros Gastos'!$C26)</f>
        <v>0</v>
      </c>
      <c r="AF25" s="295">
        <f>+'Resultados mensuales '!AF24*(1+'Otros Gastos'!$C26)</f>
        <v>0</v>
      </c>
      <c r="AG25" s="295">
        <f>+'Resultados mensuales '!AG24*(1+'Otros Gastos'!$C26)</f>
        <v>0</v>
      </c>
      <c r="AH25" s="295">
        <f>+'Resultados mensuales '!AH24*(1+'Otros Gastos'!$C26)</f>
        <v>0</v>
      </c>
      <c r="AI25" s="295">
        <f>+'Resultados mensuales '!AI24*(1+'Otros Gastos'!$C26)</f>
        <v>0</v>
      </c>
      <c r="AJ25" s="295">
        <f>+'Resultados mensuales '!AJ24*(1+'Otros Gastos'!$C26)</f>
        <v>0</v>
      </c>
      <c r="AK25" s="295">
        <f>+'Resultados mensuales '!AK24*(1+'Otros Gastos'!$C26)</f>
        <v>0</v>
      </c>
      <c r="AL25" s="549">
        <f>+'Resultados mensuales '!AL24*(1+'Otros Gastos'!$C26)</f>
        <v>0</v>
      </c>
    </row>
    <row r="26" spans="2:41" hidden="1" outlineLevel="1">
      <c r="B26" s="124">
        <f>+'Resultados mensuales '!B25</f>
        <v>0</v>
      </c>
      <c r="C26" s="548">
        <f>+'Resultados mensuales '!C25*(1+'Otros Gastos'!$C27)</f>
        <v>0</v>
      </c>
      <c r="D26" s="295">
        <f>+'Resultados mensuales '!D25*(1+'Otros Gastos'!$C27)</f>
        <v>0</v>
      </c>
      <c r="E26" s="295">
        <f>+'Resultados mensuales '!E25*(1+'Otros Gastos'!$C27)</f>
        <v>0</v>
      </c>
      <c r="F26" s="295">
        <f>+'Resultados mensuales '!F25*(1+'Otros Gastos'!$C27)</f>
        <v>0</v>
      </c>
      <c r="G26" s="295">
        <f>+'Resultados mensuales '!G25*(1+'Otros Gastos'!$C27)</f>
        <v>0</v>
      </c>
      <c r="H26" s="295">
        <f>+'Resultados mensuales '!H25*(1+'Otros Gastos'!$C27)</f>
        <v>0</v>
      </c>
      <c r="I26" s="295">
        <f>+'Resultados mensuales '!I25*(1+'Otros Gastos'!$C27)</f>
        <v>0</v>
      </c>
      <c r="J26" s="295">
        <f>+'Resultados mensuales '!J25*(1+'Otros Gastos'!$C27)</f>
        <v>0</v>
      </c>
      <c r="K26" s="295">
        <f>+'Resultados mensuales '!K25*(1+'Otros Gastos'!$C27)</f>
        <v>0</v>
      </c>
      <c r="L26" s="295">
        <f>+'Resultados mensuales '!L25*(1+'Otros Gastos'!$C27)</f>
        <v>0</v>
      </c>
      <c r="M26" s="295">
        <f>+'Resultados mensuales '!M25*(1+'Otros Gastos'!$C27)</f>
        <v>0</v>
      </c>
      <c r="N26" s="549">
        <f>+'Resultados mensuales '!N25*(1+'Otros Gastos'!$C27)</f>
        <v>0</v>
      </c>
      <c r="O26" s="550">
        <f>+'Resultados mensuales '!O25*(1+'Otros Gastos'!$C27)</f>
        <v>0</v>
      </c>
      <c r="P26" s="295">
        <f>+'Resultados mensuales '!P25*(1+'Otros Gastos'!$C27)</f>
        <v>0</v>
      </c>
      <c r="Q26" s="295">
        <f>+'Resultados mensuales '!Q25*(1+'Otros Gastos'!$C27)</f>
        <v>0</v>
      </c>
      <c r="R26" s="295">
        <f>+'Resultados mensuales '!R25*(1+'Otros Gastos'!$C27)</f>
        <v>0</v>
      </c>
      <c r="S26" s="295">
        <f>+'Resultados mensuales '!S25*(1+'Otros Gastos'!$C27)</f>
        <v>0</v>
      </c>
      <c r="T26" s="295">
        <f>+'Resultados mensuales '!T25*(1+'Otros Gastos'!$C27)</f>
        <v>0</v>
      </c>
      <c r="U26" s="295">
        <f>+'Resultados mensuales '!U25*(1+'Otros Gastos'!$C27)</f>
        <v>0</v>
      </c>
      <c r="V26" s="295">
        <f>+'Resultados mensuales '!V25*(1+'Otros Gastos'!$C27)</f>
        <v>0</v>
      </c>
      <c r="W26" s="295">
        <f>+'Resultados mensuales '!W25*(1+'Otros Gastos'!$C27)</f>
        <v>0</v>
      </c>
      <c r="X26" s="295">
        <f>+'Resultados mensuales '!X25*(1+'Otros Gastos'!$C27)</f>
        <v>0</v>
      </c>
      <c r="Y26" s="295">
        <f>+'Resultados mensuales '!Y25*(1+'Otros Gastos'!$C27)</f>
        <v>0</v>
      </c>
      <c r="Z26" s="551">
        <f>+'Resultados mensuales '!Z25*(1+'Otros Gastos'!$C27)</f>
        <v>0</v>
      </c>
      <c r="AA26" s="548">
        <f>+'Resultados mensuales '!AA25*(1+'Otros Gastos'!$C27)</f>
        <v>0</v>
      </c>
      <c r="AB26" s="295">
        <f>+'Resultados mensuales '!AB25*(1+'Otros Gastos'!$C27)</f>
        <v>0</v>
      </c>
      <c r="AC26" s="295">
        <f>+'Resultados mensuales '!AC25*(1+'Otros Gastos'!$C27)</f>
        <v>0</v>
      </c>
      <c r="AD26" s="295">
        <f>+'Resultados mensuales '!AD25*(1+'Otros Gastos'!$C27)</f>
        <v>0</v>
      </c>
      <c r="AE26" s="295">
        <f>+'Resultados mensuales '!AE25*(1+'Otros Gastos'!$C27)</f>
        <v>0</v>
      </c>
      <c r="AF26" s="295">
        <f>+'Resultados mensuales '!AF25*(1+'Otros Gastos'!$C27)</f>
        <v>0</v>
      </c>
      <c r="AG26" s="295">
        <f>+'Resultados mensuales '!AG25*(1+'Otros Gastos'!$C27)</f>
        <v>0</v>
      </c>
      <c r="AH26" s="295">
        <f>+'Resultados mensuales '!AH25*(1+'Otros Gastos'!$C27)</f>
        <v>0</v>
      </c>
      <c r="AI26" s="295">
        <f>+'Resultados mensuales '!AI25*(1+'Otros Gastos'!$C27)</f>
        <v>0</v>
      </c>
      <c r="AJ26" s="295">
        <f>+'Resultados mensuales '!AJ25*(1+'Otros Gastos'!$C27)</f>
        <v>0</v>
      </c>
      <c r="AK26" s="295">
        <f>+'Resultados mensuales '!AK25*(1+'Otros Gastos'!$C27)</f>
        <v>0</v>
      </c>
      <c r="AL26" s="549">
        <f>+'Resultados mensuales '!AL25*(1+'Otros Gastos'!$C27)</f>
        <v>0</v>
      </c>
    </row>
    <row r="27" spans="2:41" hidden="1" outlineLevel="1">
      <c r="B27" s="124">
        <f>+'Resultados mensuales '!B26</f>
        <v>0</v>
      </c>
      <c r="C27" s="548">
        <f>+'Resultados mensuales '!C26*(1+'Otros Gastos'!$C28)</f>
        <v>0</v>
      </c>
      <c r="D27" s="295">
        <f>+'Resultados mensuales '!D26*(1+'Otros Gastos'!$C28)</f>
        <v>0</v>
      </c>
      <c r="E27" s="295">
        <f>+'Resultados mensuales '!E26*(1+'Otros Gastos'!$C28)</f>
        <v>0</v>
      </c>
      <c r="F27" s="295">
        <f>+'Resultados mensuales '!F26*(1+'Otros Gastos'!$C28)</f>
        <v>0</v>
      </c>
      <c r="G27" s="295">
        <f>+'Resultados mensuales '!G26*(1+'Otros Gastos'!$C28)</f>
        <v>0</v>
      </c>
      <c r="H27" s="295">
        <f>+'Resultados mensuales '!H26*(1+'Otros Gastos'!$C28)</f>
        <v>0</v>
      </c>
      <c r="I27" s="295">
        <f>+'Resultados mensuales '!I26*(1+'Otros Gastos'!$C28)</f>
        <v>0</v>
      </c>
      <c r="J27" s="295">
        <f>+'Resultados mensuales '!J26*(1+'Otros Gastos'!$C28)</f>
        <v>0</v>
      </c>
      <c r="K27" s="295">
        <f>+'Resultados mensuales '!K26*(1+'Otros Gastos'!$C28)</f>
        <v>0</v>
      </c>
      <c r="L27" s="295">
        <f>+'Resultados mensuales '!L26*(1+'Otros Gastos'!$C28)</f>
        <v>0</v>
      </c>
      <c r="M27" s="295">
        <f>+'Resultados mensuales '!M26*(1+'Otros Gastos'!$C28)</f>
        <v>0</v>
      </c>
      <c r="N27" s="549">
        <f>+'Resultados mensuales '!N26*(1+'Otros Gastos'!$C28)</f>
        <v>0</v>
      </c>
      <c r="O27" s="550">
        <f>+'Resultados mensuales '!O26*(1+'Otros Gastos'!$C28)</f>
        <v>0</v>
      </c>
      <c r="P27" s="295">
        <f>+'Resultados mensuales '!P26*(1+'Otros Gastos'!$C28)</f>
        <v>0</v>
      </c>
      <c r="Q27" s="295">
        <f>+'Resultados mensuales '!Q26*(1+'Otros Gastos'!$C28)</f>
        <v>0</v>
      </c>
      <c r="R27" s="295">
        <f>+'Resultados mensuales '!R26*(1+'Otros Gastos'!$C28)</f>
        <v>0</v>
      </c>
      <c r="S27" s="295">
        <f>+'Resultados mensuales '!S26*(1+'Otros Gastos'!$C28)</f>
        <v>0</v>
      </c>
      <c r="T27" s="295">
        <f>+'Resultados mensuales '!T26*(1+'Otros Gastos'!$C28)</f>
        <v>0</v>
      </c>
      <c r="U27" s="295">
        <f>+'Resultados mensuales '!U26*(1+'Otros Gastos'!$C28)</f>
        <v>0</v>
      </c>
      <c r="V27" s="295">
        <f>+'Resultados mensuales '!V26*(1+'Otros Gastos'!$C28)</f>
        <v>0</v>
      </c>
      <c r="W27" s="295">
        <f>+'Resultados mensuales '!W26*(1+'Otros Gastos'!$C28)</f>
        <v>0</v>
      </c>
      <c r="X27" s="295">
        <f>+'Resultados mensuales '!X26*(1+'Otros Gastos'!$C28)</f>
        <v>0</v>
      </c>
      <c r="Y27" s="295">
        <f>+'Resultados mensuales '!Y26*(1+'Otros Gastos'!$C28)</f>
        <v>0</v>
      </c>
      <c r="Z27" s="551">
        <f>+'Resultados mensuales '!Z26*(1+'Otros Gastos'!$C28)</f>
        <v>0</v>
      </c>
      <c r="AA27" s="548">
        <f>+'Resultados mensuales '!AA26*(1+'Otros Gastos'!$C28)</f>
        <v>0</v>
      </c>
      <c r="AB27" s="295">
        <f>+'Resultados mensuales '!AB26*(1+'Otros Gastos'!$C28)</f>
        <v>0</v>
      </c>
      <c r="AC27" s="295">
        <f>+'Resultados mensuales '!AC26*(1+'Otros Gastos'!$C28)</f>
        <v>0</v>
      </c>
      <c r="AD27" s="295">
        <f>+'Resultados mensuales '!AD26*(1+'Otros Gastos'!$C28)</f>
        <v>0</v>
      </c>
      <c r="AE27" s="295">
        <f>+'Resultados mensuales '!AE26*(1+'Otros Gastos'!$C28)</f>
        <v>0</v>
      </c>
      <c r="AF27" s="295">
        <f>+'Resultados mensuales '!AF26*(1+'Otros Gastos'!$C28)</f>
        <v>0</v>
      </c>
      <c r="AG27" s="295">
        <f>+'Resultados mensuales '!AG26*(1+'Otros Gastos'!$C28)</f>
        <v>0</v>
      </c>
      <c r="AH27" s="295">
        <f>+'Resultados mensuales '!AH26*(1+'Otros Gastos'!$C28)</f>
        <v>0</v>
      </c>
      <c r="AI27" s="295">
        <f>+'Resultados mensuales '!AI26*(1+'Otros Gastos'!$C28)</f>
        <v>0</v>
      </c>
      <c r="AJ27" s="295">
        <f>+'Resultados mensuales '!AJ26*(1+'Otros Gastos'!$C28)</f>
        <v>0</v>
      </c>
      <c r="AK27" s="295">
        <f>+'Resultados mensuales '!AK26*(1+'Otros Gastos'!$C28)</f>
        <v>0</v>
      </c>
      <c r="AL27" s="549">
        <f>+'Resultados mensuales '!AL26*(1+'Otros Gastos'!$C28)</f>
        <v>0</v>
      </c>
    </row>
    <row r="28" spans="2:41" hidden="1" outlineLevel="1">
      <c r="B28" s="124">
        <f>+'Resultados mensuales '!B27</f>
        <v>0</v>
      </c>
      <c r="C28" s="548">
        <f>+'Resultados mensuales '!C27*(1+'Otros Gastos'!$C29)</f>
        <v>0</v>
      </c>
      <c r="D28" s="295">
        <f>+'Resultados mensuales '!D27*(1+'Otros Gastos'!$C29)</f>
        <v>0</v>
      </c>
      <c r="E28" s="295">
        <f>+'Resultados mensuales '!E27*(1+'Otros Gastos'!$C29)</f>
        <v>0</v>
      </c>
      <c r="F28" s="295">
        <f>+'Resultados mensuales '!F27*(1+'Otros Gastos'!$C29)</f>
        <v>0</v>
      </c>
      <c r="G28" s="295">
        <f>+'Resultados mensuales '!G27*(1+'Otros Gastos'!$C29)</f>
        <v>0</v>
      </c>
      <c r="H28" s="295">
        <f>+'Resultados mensuales '!H27*(1+'Otros Gastos'!$C29)</f>
        <v>0</v>
      </c>
      <c r="I28" s="295">
        <f>+'Resultados mensuales '!I27*(1+'Otros Gastos'!$C29)</f>
        <v>0</v>
      </c>
      <c r="J28" s="295">
        <f>+'Resultados mensuales '!J27*(1+'Otros Gastos'!$C29)</f>
        <v>0</v>
      </c>
      <c r="K28" s="295">
        <f>+'Resultados mensuales '!K27*(1+'Otros Gastos'!$C29)</f>
        <v>0</v>
      </c>
      <c r="L28" s="295">
        <f>+'Resultados mensuales '!L27*(1+'Otros Gastos'!$C29)</f>
        <v>0</v>
      </c>
      <c r="M28" s="295">
        <f>+'Resultados mensuales '!M27*(1+'Otros Gastos'!$C29)</f>
        <v>0</v>
      </c>
      <c r="N28" s="549">
        <f>+'Resultados mensuales '!N27*(1+'Otros Gastos'!$C29)</f>
        <v>0</v>
      </c>
      <c r="O28" s="550">
        <f>+'Resultados mensuales '!O27*(1+'Otros Gastos'!$C29)</f>
        <v>0</v>
      </c>
      <c r="P28" s="295">
        <f>+'Resultados mensuales '!P27*(1+'Otros Gastos'!$C29)</f>
        <v>0</v>
      </c>
      <c r="Q28" s="295">
        <f>+'Resultados mensuales '!Q27*(1+'Otros Gastos'!$C29)</f>
        <v>0</v>
      </c>
      <c r="R28" s="295">
        <f>+'Resultados mensuales '!R27*(1+'Otros Gastos'!$C29)</f>
        <v>0</v>
      </c>
      <c r="S28" s="295">
        <f>+'Resultados mensuales '!S27*(1+'Otros Gastos'!$C29)</f>
        <v>0</v>
      </c>
      <c r="T28" s="295">
        <f>+'Resultados mensuales '!T27*(1+'Otros Gastos'!$C29)</f>
        <v>0</v>
      </c>
      <c r="U28" s="295">
        <f>+'Resultados mensuales '!U27*(1+'Otros Gastos'!$C29)</f>
        <v>0</v>
      </c>
      <c r="V28" s="295">
        <f>+'Resultados mensuales '!V27*(1+'Otros Gastos'!$C29)</f>
        <v>0</v>
      </c>
      <c r="W28" s="295">
        <f>+'Resultados mensuales '!W27*(1+'Otros Gastos'!$C29)</f>
        <v>0</v>
      </c>
      <c r="X28" s="295">
        <f>+'Resultados mensuales '!X27*(1+'Otros Gastos'!$C29)</f>
        <v>0</v>
      </c>
      <c r="Y28" s="295">
        <f>+'Resultados mensuales '!Y27*(1+'Otros Gastos'!$C29)</f>
        <v>0</v>
      </c>
      <c r="Z28" s="551">
        <f>+'Resultados mensuales '!Z27*(1+'Otros Gastos'!$C29)</f>
        <v>0</v>
      </c>
      <c r="AA28" s="548">
        <f>+'Resultados mensuales '!AA27*(1+'Otros Gastos'!$C29)</f>
        <v>0</v>
      </c>
      <c r="AB28" s="295">
        <f>+'Resultados mensuales '!AB27*(1+'Otros Gastos'!$C29)</f>
        <v>0</v>
      </c>
      <c r="AC28" s="295">
        <f>+'Resultados mensuales '!AC27*(1+'Otros Gastos'!$C29)</f>
        <v>0</v>
      </c>
      <c r="AD28" s="295">
        <f>+'Resultados mensuales '!AD27*(1+'Otros Gastos'!$C29)</f>
        <v>0</v>
      </c>
      <c r="AE28" s="295">
        <f>+'Resultados mensuales '!AE27*(1+'Otros Gastos'!$C29)</f>
        <v>0</v>
      </c>
      <c r="AF28" s="295">
        <f>+'Resultados mensuales '!AF27*(1+'Otros Gastos'!$C29)</f>
        <v>0</v>
      </c>
      <c r="AG28" s="295">
        <f>+'Resultados mensuales '!AG27*(1+'Otros Gastos'!$C29)</f>
        <v>0</v>
      </c>
      <c r="AH28" s="295">
        <f>+'Resultados mensuales '!AH27*(1+'Otros Gastos'!$C29)</f>
        <v>0</v>
      </c>
      <c r="AI28" s="295">
        <f>+'Resultados mensuales '!AI27*(1+'Otros Gastos'!$C29)</f>
        <v>0</v>
      </c>
      <c r="AJ28" s="295">
        <f>+'Resultados mensuales '!AJ27*(1+'Otros Gastos'!$C29)</f>
        <v>0</v>
      </c>
      <c r="AK28" s="295">
        <f>+'Resultados mensuales '!AK27*(1+'Otros Gastos'!$C29)</f>
        <v>0</v>
      </c>
      <c r="AL28" s="549">
        <f>+'Resultados mensuales '!AL27*(1+'Otros Gastos'!$C29)</f>
        <v>0</v>
      </c>
    </row>
    <row r="29" spans="2:41" hidden="1" outlineLevel="1">
      <c r="B29" s="124">
        <f>+'Resultados mensuales '!B28</f>
        <v>0</v>
      </c>
      <c r="C29" s="548">
        <f>+'Resultados mensuales '!C28*(1+'Otros Gastos'!$C30)</f>
        <v>0</v>
      </c>
      <c r="D29" s="295">
        <f>+'Resultados mensuales '!D28*(1+'Otros Gastos'!$C30)</f>
        <v>0</v>
      </c>
      <c r="E29" s="295">
        <f>+'Resultados mensuales '!E28*(1+'Otros Gastos'!$C30)</f>
        <v>0</v>
      </c>
      <c r="F29" s="295">
        <f>+'Resultados mensuales '!F28*(1+'Otros Gastos'!$C30)</f>
        <v>0</v>
      </c>
      <c r="G29" s="295">
        <f>+'Resultados mensuales '!G28*(1+'Otros Gastos'!$C30)</f>
        <v>0</v>
      </c>
      <c r="H29" s="295">
        <f>+'Resultados mensuales '!H28*(1+'Otros Gastos'!$C30)</f>
        <v>0</v>
      </c>
      <c r="I29" s="295">
        <f>+'Resultados mensuales '!I28*(1+'Otros Gastos'!$C30)</f>
        <v>0</v>
      </c>
      <c r="J29" s="295">
        <f>+'Resultados mensuales '!J28*(1+'Otros Gastos'!$C30)</f>
        <v>0</v>
      </c>
      <c r="K29" s="295">
        <f>+'Resultados mensuales '!K28*(1+'Otros Gastos'!$C30)</f>
        <v>0</v>
      </c>
      <c r="L29" s="295">
        <f>+'Resultados mensuales '!L28*(1+'Otros Gastos'!$C30)</f>
        <v>0</v>
      </c>
      <c r="M29" s="295">
        <f>+'Resultados mensuales '!M28*(1+'Otros Gastos'!$C30)</f>
        <v>0</v>
      </c>
      <c r="N29" s="549">
        <f>+'Resultados mensuales '!N28*(1+'Otros Gastos'!$C30)</f>
        <v>0</v>
      </c>
      <c r="O29" s="550">
        <f>+'Resultados mensuales '!O28*(1+'Otros Gastos'!$C30)</f>
        <v>0</v>
      </c>
      <c r="P29" s="295">
        <f>+'Resultados mensuales '!P28*(1+'Otros Gastos'!$C30)</f>
        <v>0</v>
      </c>
      <c r="Q29" s="295">
        <f>+'Resultados mensuales '!Q28*(1+'Otros Gastos'!$C30)</f>
        <v>0</v>
      </c>
      <c r="R29" s="295">
        <f>+'Resultados mensuales '!R28*(1+'Otros Gastos'!$C30)</f>
        <v>0</v>
      </c>
      <c r="S29" s="295">
        <f>+'Resultados mensuales '!S28*(1+'Otros Gastos'!$C30)</f>
        <v>0</v>
      </c>
      <c r="T29" s="295">
        <f>+'Resultados mensuales '!T28*(1+'Otros Gastos'!$C30)</f>
        <v>0</v>
      </c>
      <c r="U29" s="295">
        <f>+'Resultados mensuales '!U28*(1+'Otros Gastos'!$C30)</f>
        <v>0</v>
      </c>
      <c r="V29" s="295">
        <f>+'Resultados mensuales '!V28*(1+'Otros Gastos'!$C30)</f>
        <v>0</v>
      </c>
      <c r="W29" s="295">
        <f>+'Resultados mensuales '!W28*(1+'Otros Gastos'!$C30)</f>
        <v>0</v>
      </c>
      <c r="X29" s="295">
        <f>+'Resultados mensuales '!X28*(1+'Otros Gastos'!$C30)</f>
        <v>0</v>
      </c>
      <c r="Y29" s="295">
        <f>+'Resultados mensuales '!Y28*(1+'Otros Gastos'!$C30)</f>
        <v>0</v>
      </c>
      <c r="Z29" s="551">
        <f>+'Resultados mensuales '!Z28*(1+'Otros Gastos'!$C30)</f>
        <v>0</v>
      </c>
      <c r="AA29" s="548">
        <f>+'Resultados mensuales '!AA28*(1+'Otros Gastos'!$C30)</f>
        <v>0</v>
      </c>
      <c r="AB29" s="295">
        <f>+'Resultados mensuales '!AB28*(1+'Otros Gastos'!$C30)</f>
        <v>0</v>
      </c>
      <c r="AC29" s="295">
        <f>+'Resultados mensuales '!AC28*(1+'Otros Gastos'!$C30)</f>
        <v>0</v>
      </c>
      <c r="AD29" s="295">
        <f>+'Resultados mensuales '!AD28*(1+'Otros Gastos'!$C30)</f>
        <v>0</v>
      </c>
      <c r="AE29" s="295">
        <f>+'Resultados mensuales '!AE28*(1+'Otros Gastos'!$C30)</f>
        <v>0</v>
      </c>
      <c r="AF29" s="295">
        <f>+'Resultados mensuales '!AF28*(1+'Otros Gastos'!$C30)</f>
        <v>0</v>
      </c>
      <c r="AG29" s="295">
        <f>+'Resultados mensuales '!AG28*(1+'Otros Gastos'!$C30)</f>
        <v>0</v>
      </c>
      <c r="AH29" s="295">
        <f>+'Resultados mensuales '!AH28*(1+'Otros Gastos'!$C30)</f>
        <v>0</v>
      </c>
      <c r="AI29" s="295">
        <f>+'Resultados mensuales '!AI28*(1+'Otros Gastos'!$C30)</f>
        <v>0</v>
      </c>
      <c r="AJ29" s="295">
        <f>+'Resultados mensuales '!AJ28*(1+'Otros Gastos'!$C30)</f>
        <v>0</v>
      </c>
      <c r="AK29" s="295">
        <f>+'Resultados mensuales '!AK28*(1+'Otros Gastos'!$C30)</f>
        <v>0</v>
      </c>
      <c r="AL29" s="549">
        <f>+'Resultados mensuales '!AL28*(1+'Otros Gastos'!$C30)</f>
        <v>0</v>
      </c>
    </row>
    <row r="30" spans="2:41" hidden="1" outlineLevel="1">
      <c r="B30" s="124">
        <f>+'Resultados mensuales '!B29</f>
        <v>0</v>
      </c>
      <c r="C30" s="548">
        <f>+'Resultados mensuales '!C29*(1+'Otros Gastos'!$C31)</f>
        <v>0</v>
      </c>
      <c r="D30" s="295">
        <f>+'Resultados mensuales '!D29*(1+'Otros Gastos'!$C31)</f>
        <v>0</v>
      </c>
      <c r="E30" s="295">
        <f>+'Resultados mensuales '!E29*(1+'Otros Gastos'!$C31)</f>
        <v>0</v>
      </c>
      <c r="F30" s="295">
        <f>+'Resultados mensuales '!F29*(1+'Otros Gastos'!$C31)</f>
        <v>0</v>
      </c>
      <c r="G30" s="295">
        <f>+'Resultados mensuales '!G29*(1+'Otros Gastos'!$C31)</f>
        <v>0</v>
      </c>
      <c r="H30" s="295">
        <f>+'Resultados mensuales '!H29*(1+'Otros Gastos'!$C31)</f>
        <v>0</v>
      </c>
      <c r="I30" s="295">
        <f>+'Resultados mensuales '!I29*(1+'Otros Gastos'!$C31)</f>
        <v>0</v>
      </c>
      <c r="J30" s="295">
        <f>+'Resultados mensuales '!J29*(1+'Otros Gastos'!$C31)</f>
        <v>0</v>
      </c>
      <c r="K30" s="295">
        <f>+'Resultados mensuales '!K29*(1+'Otros Gastos'!$C31)</f>
        <v>0</v>
      </c>
      <c r="L30" s="295">
        <f>+'Resultados mensuales '!L29*(1+'Otros Gastos'!$C31)</f>
        <v>0</v>
      </c>
      <c r="M30" s="295">
        <f>+'Resultados mensuales '!M29*(1+'Otros Gastos'!$C31)</f>
        <v>0</v>
      </c>
      <c r="N30" s="549">
        <f>+'Resultados mensuales '!N29*(1+'Otros Gastos'!$C31)</f>
        <v>0</v>
      </c>
      <c r="O30" s="550">
        <f>+'Resultados mensuales '!O29*(1+'Otros Gastos'!$C31)</f>
        <v>0</v>
      </c>
      <c r="P30" s="295">
        <f>+'Resultados mensuales '!P29*(1+'Otros Gastos'!$C31)</f>
        <v>0</v>
      </c>
      <c r="Q30" s="295">
        <f>+'Resultados mensuales '!Q29*(1+'Otros Gastos'!$C31)</f>
        <v>0</v>
      </c>
      <c r="R30" s="295">
        <f>+'Resultados mensuales '!R29*(1+'Otros Gastos'!$C31)</f>
        <v>0</v>
      </c>
      <c r="S30" s="295">
        <f>+'Resultados mensuales '!S29*(1+'Otros Gastos'!$C31)</f>
        <v>0</v>
      </c>
      <c r="T30" s="295">
        <f>+'Resultados mensuales '!T29*(1+'Otros Gastos'!$C31)</f>
        <v>0</v>
      </c>
      <c r="U30" s="295">
        <f>+'Resultados mensuales '!U29*(1+'Otros Gastos'!$C31)</f>
        <v>0</v>
      </c>
      <c r="V30" s="295">
        <f>+'Resultados mensuales '!V29*(1+'Otros Gastos'!$C31)</f>
        <v>0</v>
      </c>
      <c r="W30" s="295">
        <f>+'Resultados mensuales '!W29*(1+'Otros Gastos'!$C31)</f>
        <v>0</v>
      </c>
      <c r="X30" s="295">
        <f>+'Resultados mensuales '!X29*(1+'Otros Gastos'!$C31)</f>
        <v>0</v>
      </c>
      <c r="Y30" s="295">
        <f>+'Resultados mensuales '!Y29*(1+'Otros Gastos'!$C31)</f>
        <v>0</v>
      </c>
      <c r="Z30" s="551">
        <f>+'Resultados mensuales '!Z29*(1+'Otros Gastos'!$C31)</f>
        <v>0</v>
      </c>
      <c r="AA30" s="548">
        <f>+'Resultados mensuales '!AA29*(1+'Otros Gastos'!$C31)</f>
        <v>0</v>
      </c>
      <c r="AB30" s="295">
        <f>+'Resultados mensuales '!AB29*(1+'Otros Gastos'!$C31)</f>
        <v>0</v>
      </c>
      <c r="AC30" s="295">
        <f>+'Resultados mensuales '!AC29*(1+'Otros Gastos'!$C31)</f>
        <v>0</v>
      </c>
      <c r="AD30" s="295">
        <f>+'Resultados mensuales '!AD29*(1+'Otros Gastos'!$C31)</f>
        <v>0</v>
      </c>
      <c r="AE30" s="295">
        <f>+'Resultados mensuales '!AE29*(1+'Otros Gastos'!$C31)</f>
        <v>0</v>
      </c>
      <c r="AF30" s="295">
        <f>+'Resultados mensuales '!AF29*(1+'Otros Gastos'!$C31)</f>
        <v>0</v>
      </c>
      <c r="AG30" s="295">
        <f>+'Resultados mensuales '!AG29*(1+'Otros Gastos'!$C31)</f>
        <v>0</v>
      </c>
      <c r="AH30" s="295">
        <f>+'Resultados mensuales '!AH29*(1+'Otros Gastos'!$C31)</f>
        <v>0</v>
      </c>
      <c r="AI30" s="295">
        <f>+'Resultados mensuales '!AI29*(1+'Otros Gastos'!$C31)</f>
        <v>0</v>
      </c>
      <c r="AJ30" s="295">
        <f>+'Resultados mensuales '!AJ29*(1+'Otros Gastos'!$C31)</f>
        <v>0</v>
      </c>
      <c r="AK30" s="295">
        <f>+'Resultados mensuales '!AK29*(1+'Otros Gastos'!$C31)</f>
        <v>0</v>
      </c>
      <c r="AL30" s="549">
        <f>+'Resultados mensuales '!AL29*(1+'Otros Gastos'!$C31)</f>
        <v>0</v>
      </c>
    </row>
    <row r="31" spans="2:41" s="33" customFormat="1" ht="8.25" customHeight="1" collapsed="1">
      <c r="C31" s="556"/>
      <c r="D31" s="557"/>
      <c r="E31" s="557"/>
      <c r="F31" s="557"/>
      <c r="G31" s="557"/>
      <c r="H31" s="557"/>
      <c r="I31" s="557"/>
      <c r="J31" s="557"/>
      <c r="K31" s="557"/>
      <c r="L31" s="557"/>
      <c r="M31" s="557"/>
      <c r="N31" s="558"/>
      <c r="O31" s="557"/>
      <c r="P31" s="557"/>
      <c r="Q31" s="557"/>
      <c r="R31" s="557"/>
      <c r="S31" s="557"/>
      <c r="T31" s="557"/>
      <c r="U31" s="557"/>
      <c r="V31" s="557"/>
      <c r="W31" s="557"/>
      <c r="X31" s="557"/>
      <c r="Y31" s="557"/>
      <c r="Z31" s="557"/>
      <c r="AA31" s="559"/>
      <c r="AB31" s="557"/>
      <c r="AC31" s="557"/>
      <c r="AD31" s="557"/>
      <c r="AE31" s="557"/>
      <c r="AF31" s="557"/>
      <c r="AG31" s="557"/>
      <c r="AH31" s="557"/>
      <c r="AI31" s="557"/>
      <c r="AJ31" s="557"/>
      <c r="AK31" s="557"/>
      <c r="AL31" s="558"/>
    </row>
    <row r="32" spans="2:41" s="33" customFormat="1">
      <c r="B32" s="33" t="s">
        <v>549</v>
      </c>
      <c r="C32" s="548">
        <f>-'Otros Gastos'!D38</f>
        <v>0</v>
      </c>
      <c r="D32" s="295">
        <f>-'Otros Gastos'!E38</f>
        <v>0</v>
      </c>
      <c r="E32" s="295">
        <f>-'Otros Gastos'!F38</f>
        <v>0</v>
      </c>
      <c r="F32" s="295">
        <f>-'Otros Gastos'!G38</f>
        <v>0</v>
      </c>
      <c r="G32" s="295">
        <f>-'Otros Gastos'!H38</f>
        <v>0</v>
      </c>
      <c r="H32" s="295">
        <f>-'Otros Gastos'!I38</f>
        <v>0</v>
      </c>
      <c r="I32" s="295">
        <f>-'Otros Gastos'!J38</f>
        <v>0</v>
      </c>
      <c r="J32" s="295">
        <f>-'Otros Gastos'!K38</f>
        <v>0</v>
      </c>
      <c r="K32" s="295">
        <f>-'Otros Gastos'!L38</f>
        <v>0</v>
      </c>
      <c r="L32" s="295">
        <f>-'Otros Gastos'!M38</f>
        <v>0</v>
      </c>
      <c r="M32" s="295">
        <f>-'Otros Gastos'!N38</f>
        <v>0</v>
      </c>
      <c r="N32" s="549">
        <f>-'Otros Gastos'!O38</f>
        <v>0</v>
      </c>
      <c r="O32" s="550">
        <f>-'Otros Gastos'!P38</f>
        <v>0</v>
      </c>
      <c r="P32" s="295">
        <f>-'Otros Gastos'!Q38</f>
        <v>0</v>
      </c>
      <c r="Q32" s="295">
        <f>-'Otros Gastos'!R38</f>
        <v>0</v>
      </c>
      <c r="R32" s="295">
        <f>-'Otros Gastos'!S38</f>
        <v>0</v>
      </c>
      <c r="S32" s="295">
        <f>-'Otros Gastos'!T38</f>
        <v>0</v>
      </c>
      <c r="T32" s="295">
        <f>-'Otros Gastos'!U38</f>
        <v>0</v>
      </c>
      <c r="U32" s="295">
        <f>-'Otros Gastos'!V38</f>
        <v>0</v>
      </c>
      <c r="V32" s="295">
        <f>-'Otros Gastos'!W38</f>
        <v>0</v>
      </c>
      <c r="W32" s="295">
        <f>-'Otros Gastos'!X38</f>
        <v>0</v>
      </c>
      <c r="X32" s="295">
        <f>-'Otros Gastos'!Y38</f>
        <v>0</v>
      </c>
      <c r="Y32" s="295">
        <f>-'Otros Gastos'!Z38</f>
        <v>0</v>
      </c>
      <c r="Z32" s="551">
        <f>-'Otros Gastos'!AA38</f>
        <v>0</v>
      </c>
      <c r="AA32" s="548">
        <f>-'Otros Gastos'!AB38</f>
        <v>0</v>
      </c>
      <c r="AB32" s="295">
        <f>-'Otros Gastos'!AC38</f>
        <v>0</v>
      </c>
      <c r="AC32" s="295">
        <f>-'Otros Gastos'!AD38</f>
        <v>0</v>
      </c>
      <c r="AD32" s="295">
        <f>-'Otros Gastos'!AE38</f>
        <v>0</v>
      </c>
      <c r="AE32" s="295">
        <f>-'Otros Gastos'!AF38</f>
        <v>0</v>
      </c>
      <c r="AF32" s="295">
        <f>-'Otros Gastos'!AG38</f>
        <v>0</v>
      </c>
      <c r="AG32" s="295">
        <f>-'Otros Gastos'!AH38</f>
        <v>0</v>
      </c>
      <c r="AH32" s="295">
        <f>-'Otros Gastos'!AI38</f>
        <v>0</v>
      </c>
      <c r="AI32" s="295">
        <f>-'Otros Gastos'!AJ38</f>
        <v>0</v>
      </c>
      <c r="AJ32" s="295">
        <f>-'Otros Gastos'!AK38</f>
        <v>0</v>
      </c>
      <c r="AK32" s="295">
        <f>-'Otros Gastos'!AL38</f>
        <v>0</v>
      </c>
      <c r="AL32" s="549">
        <f>-'Otros Gastos'!AM38</f>
        <v>0</v>
      </c>
    </row>
    <row r="33" spans="2:41">
      <c r="B33" s="124" t="s">
        <v>206</v>
      </c>
      <c r="C33" s="548">
        <f ca="1">-'Total préstamos'!C4</f>
        <v>0</v>
      </c>
      <c r="D33" s="295">
        <f ca="1">-'Total préstamos'!D4</f>
        <v>0</v>
      </c>
      <c r="E33" s="295">
        <f ca="1">-'Total préstamos'!E4</f>
        <v>0</v>
      </c>
      <c r="F33" s="295">
        <f ca="1">-'Total préstamos'!F4</f>
        <v>0</v>
      </c>
      <c r="G33" s="295">
        <f ca="1">-'Total préstamos'!G4</f>
        <v>0</v>
      </c>
      <c r="H33" s="295">
        <f ca="1">-'Total préstamos'!H4</f>
        <v>0</v>
      </c>
      <c r="I33" s="295">
        <f ca="1">-'Total préstamos'!I4</f>
        <v>0</v>
      </c>
      <c r="J33" s="295">
        <f ca="1">-'Total préstamos'!J4</f>
        <v>0</v>
      </c>
      <c r="K33" s="295">
        <f ca="1">-'Total préstamos'!K4</f>
        <v>0</v>
      </c>
      <c r="L33" s="295">
        <f ca="1">-'Total préstamos'!L4</f>
        <v>0</v>
      </c>
      <c r="M33" s="295">
        <f ca="1">-'Total préstamos'!M4</f>
        <v>0</v>
      </c>
      <c r="N33" s="549">
        <f ca="1">-'Total préstamos'!N4</f>
        <v>0</v>
      </c>
      <c r="O33" s="550">
        <f ca="1">-'Total préstamos'!O4</f>
        <v>0</v>
      </c>
      <c r="P33" s="295">
        <f ca="1">-'Total préstamos'!P4</f>
        <v>0</v>
      </c>
      <c r="Q33" s="295">
        <f ca="1">-'Total préstamos'!Q4</f>
        <v>0</v>
      </c>
      <c r="R33" s="295">
        <f ca="1">-'Total préstamos'!R4</f>
        <v>0</v>
      </c>
      <c r="S33" s="295">
        <f ca="1">-'Total préstamos'!S4</f>
        <v>0</v>
      </c>
      <c r="T33" s="295">
        <f ca="1">-'Total préstamos'!T4</f>
        <v>0</v>
      </c>
      <c r="U33" s="295">
        <f ca="1">-'Total préstamos'!U4</f>
        <v>0</v>
      </c>
      <c r="V33" s="295">
        <f ca="1">-'Total préstamos'!V4</f>
        <v>0</v>
      </c>
      <c r="W33" s="295">
        <f ca="1">-'Total préstamos'!W4</f>
        <v>0</v>
      </c>
      <c r="X33" s="295">
        <f ca="1">-'Total préstamos'!X4</f>
        <v>0</v>
      </c>
      <c r="Y33" s="295">
        <f ca="1">-'Total préstamos'!Y4</f>
        <v>0</v>
      </c>
      <c r="Z33" s="551">
        <f ca="1">-'Total préstamos'!Z4</f>
        <v>0</v>
      </c>
      <c r="AA33" s="548">
        <f ca="1">-'Total préstamos'!AA4</f>
        <v>0</v>
      </c>
      <c r="AB33" s="295">
        <f ca="1">-'Total préstamos'!AB4</f>
        <v>0</v>
      </c>
      <c r="AC33" s="295">
        <f ca="1">-'Total préstamos'!AC4</f>
        <v>0</v>
      </c>
      <c r="AD33" s="295">
        <f ca="1">-'Total préstamos'!AD4</f>
        <v>0</v>
      </c>
      <c r="AE33" s="295">
        <f ca="1">-'Total préstamos'!AE4</f>
        <v>0</v>
      </c>
      <c r="AF33" s="295">
        <f ca="1">-'Total préstamos'!AF4</f>
        <v>0</v>
      </c>
      <c r="AG33" s="295">
        <f ca="1">-'Total préstamos'!AG4</f>
        <v>0</v>
      </c>
      <c r="AH33" s="295">
        <f ca="1">-'Total préstamos'!AH4</f>
        <v>0</v>
      </c>
      <c r="AI33" s="295">
        <f ca="1">-'Total préstamos'!AI4</f>
        <v>0</v>
      </c>
      <c r="AJ33" s="295">
        <f ca="1">-'Total préstamos'!AJ4</f>
        <v>0</v>
      </c>
      <c r="AK33" s="295">
        <f ca="1">-'Total préstamos'!AK4</f>
        <v>0</v>
      </c>
      <c r="AL33" s="549">
        <f ca="1">-'Total préstamos'!AL4</f>
        <v>0</v>
      </c>
    </row>
    <row r="34" spans="2:41">
      <c r="B34" s="124" t="s">
        <v>195</v>
      </c>
      <c r="C34" s="548">
        <f ca="1">-'Total préstamos'!C3</f>
        <v>0</v>
      </c>
      <c r="D34" s="295">
        <f ca="1">-'Total préstamos'!D3</f>
        <v>0</v>
      </c>
      <c r="E34" s="295">
        <f ca="1">-'Total préstamos'!E3</f>
        <v>0</v>
      </c>
      <c r="F34" s="295">
        <f ca="1">-'Total préstamos'!F3</f>
        <v>0</v>
      </c>
      <c r="G34" s="295">
        <f ca="1">-'Total préstamos'!G3</f>
        <v>0</v>
      </c>
      <c r="H34" s="295">
        <f ca="1">-'Total préstamos'!H3</f>
        <v>0</v>
      </c>
      <c r="I34" s="295">
        <f ca="1">-'Total préstamos'!I3</f>
        <v>0</v>
      </c>
      <c r="J34" s="295">
        <f ca="1">-'Total préstamos'!J3</f>
        <v>0</v>
      </c>
      <c r="K34" s="295">
        <f ca="1">-'Total préstamos'!K3</f>
        <v>0</v>
      </c>
      <c r="L34" s="295">
        <f ca="1">-'Total préstamos'!L3</f>
        <v>0</v>
      </c>
      <c r="M34" s="295">
        <f ca="1">-'Total préstamos'!M3</f>
        <v>0</v>
      </c>
      <c r="N34" s="549">
        <f ca="1">-'Total préstamos'!N3</f>
        <v>0</v>
      </c>
      <c r="O34" s="550">
        <f ca="1">-'Total préstamos'!O3</f>
        <v>0</v>
      </c>
      <c r="P34" s="295">
        <f ca="1">-'Total préstamos'!P3</f>
        <v>0</v>
      </c>
      <c r="Q34" s="295">
        <f ca="1">-'Total préstamos'!Q3</f>
        <v>0</v>
      </c>
      <c r="R34" s="295">
        <f ca="1">-'Total préstamos'!R3</f>
        <v>0</v>
      </c>
      <c r="S34" s="295">
        <f ca="1">-'Total préstamos'!S3</f>
        <v>0</v>
      </c>
      <c r="T34" s="295">
        <f ca="1">-'Total préstamos'!T3</f>
        <v>0</v>
      </c>
      <c r="U34" s="295">
        <f ca="1">-'Total préstamos'!U3</f>
        <v>0</v>
      </c>
      <c r="V34" s="295">
        <f ca="1">-'Total préstamos'!V3</f>
        <v>0</v>
      </c>
      <c r="W34" s="295">
        <f ca="1">-'Total préstamos'!W3</f>
        <v>0</v>
      </c>
      <c r="X34" s="295">
        <f ca="1">-'Total préstamos'!X3</f>
        <v>0</v>
      </c>
      <c r="Y34" s="295">
        <f ca="1">-'Total préstamos'!Y3</f>
        <v>0</v>
      </c>
      <c r="Z34" s="551">
        <f ca="1">-'Total préstamos'!Z3</f>
        <v>0</v>
      </c>
      <c r="AA34" s="548">
        <f ca="1">-'Total préstamos'!AA3</f>
        <v>0</v>
      </c>
      <c r="AB34" s="295">
        <f ca="1">-'Total préstamos'!AB3</f>
        <v>0</v>
      </c>
      <c r="AC34" s="295">
        <f ca="1">-'Total préstamos'!AC3</f>
        <v>0</v>
      </c>
      <c r="AD34" s="295">
        <f ca="1">-'Total préstamos'!AD3</f>
        <v>0</v>
      </c>
      <c r="AE34" s="295">
        <f ca="1">-'Total préstamos'!AE3</f>
        <v>0</v>
      </c>
      <c r="AF34" s="295">
        <f ca="1">-'Total préstamos'!AF3</f>
        <v>0</v>
      </c>
      <c r="AG34" s="295">
        <f ca="1">-'Total préstamos'!AG3</f>
        <v>0</v>
      </c>
      <c r="AH34" s="295">
        <f ca="1">-'Total préstamos'!AH3</f>
        <v>0</v>
      </c>
      <c r="AI34" s="295">
        <f ca="1">-'Total préstamos'!AI3</f>
        <v>0</v>
      </c>
      <c r="AJ34" s="295">
        <f ca="1">-'Total préstamos'!AJ3</f>
        <v>0</v>
      </c>
      <c r="AK34" s="295">
        <f ca="1">-'Total préstamos'!AK3</f>
        <v>0</v>
      </c>
      <c r="AL34" s="549">
        <f ca="1">-'Total préstamos'!AL3</f>
        <v>0</v>
      </c>
    </row>
    <row r="35" spans="2:41" s="33" customFormat="1" ht="8.25" customHeight="1">
      <c r="C35" s="556"/>
      <c r="D35" s="557" t="s">
        <v>46</v>
      </c>
      <c r="E35" s="557"/>
      <c r="F35" s="557"/>
      <c r="G35" s="557"/>
      <c r="H35" s="557"/>
      <c r="I35" s="557"/>
      <c r="J35" s="557"/>
      <c r="K35" s="557"/>
      <c r="L35" s="557"/>
      <c r="M35" s="557"/>
      <c r="N35" s="558"/>
      <c r="O35" s="557"/>
      <c r="P35" s="557"/>
      <c r="Q35" s="557"/>
      <c r="R35" s="557"/>
      <c r="S35" s="557"/>
      <c r="T35" s="557"/>
      <c r="U35" s="557"/>
      <c r="V35" s="557"/>
      <c r="W35" s="557"/>
      <c r="X35" s="557"/>
      <c r="Y35" s="557"/>
      <c r="Z35" s="557"/>
      <c r="AA35" s="559"/>
      <c r="AB35" s="557"/>
      <c r="AC35" s="557"/>
      <c r="AD35" s="557"/>
      <c r="AE35" s="557"/>
      <c r="AF35" s="557"/>
      <c r="AG35" s="557"/>
      <c r="AH35" s="557"/>
      <c r="AI35" s="557"/>
      <c r="AJ35" s="557"/>
      <c r="AK35" s="557"/>
      <c r="AL35" s="558"/>
      <c r="AM35" s="117"/>
      <c r="AN35" s="117"/>
      <c r="AO35" s="117"/>
    </row>
    <row r="36" spans="2:41">
      <c r="B36" s="124" t="s">
        <v>329</v>
      </c>
      <c r="C36" s="548">
        <f>-'IRPF-IVA-IS'!G7</f>
        <v>0</v>
      </c>
      <c r="D36" s="295">
        <f>-'IRPF-IVA-IS'!H7</f>
        <v>0</v>
      </c>
      <c r="E36" s="295">
        <f>-'IRPF-IVA-IS'!I7</f>
        <v>0</v>
      </c>
      <c r="F36" s="295">
        <f>-'IRPF-IVA-IS'!J7</f>
        <v>0</v>
      </c>
      <c r="G36" s="295">
        <f>-'IRPF-IVA-IS'!K7</f>
        <v>0</v>
      </c>
      <c r="H36" s="295">
        <f>-'IRPF-IVA-IS'!L7</f>
        <v>0</v>
      </c>
      <c r="I36" s="295">
        <f>-'IRPF-IVA-IS'!M7</f>
        <v>0</v>
      </c>
      <c r="J36" s="295">
        <f>-'IRPF-IVA-IS'!N7</f>
        <v>0</v>
      </c>
      <c r="K36" s="295">
        <f>-'IRPF-IVA-IS'!O7</f>
        <v>0</v>
      </c>
      <c r="L36" s="295">
        <f>-'IRPF-IVA-IS'!P7</f>
        <v>0</v>
      </c>
      <c r="M36" s="295">
        <f>-'IRPF-IVA-IS'!Q7</f>
        <v>0</v>
      </c>
      <c r="N36" s="549">
        <f>-'IRPF-IVA-IS'!R7</f>
        <v>0</v>
      </c>
      <c r="O36" s="550">
        <f>-'IRPF-IVA-IS'!S7</f>
        <v>0</v>
      </c>
      <c r="P36" s="295">
        <f>-'IRPF-IVA-IS'!T7</f>
        <v>0</v>
      </c>
      <c r="Q36" s="295">
        <f>-'IRPF-IVA-IS'!U7</f>
        <v>0</v>
      </c>
      <c r="R36" s="295">
        <f>-'IRPF-IVA-IS'!V7</f>
        <v>0</v>
      </c>
      <c r="S36" s="295">
        <f>-'IRPF-IVA-IS'!W7</f>
        <v>0</v>
      </c>
      <c r="T36" s="295">
        <f>-'IRPF-IVA-IS'!X7</f>
        <v>0</v>
      </c>
      <c r="U36" s="295">
        <f>-'IRPF-IVA-IS'!Y7</f>
        <v>0</v>
      </c>
      <c r="V36" s="295">
        <f>-'IRPF-IVA-IS'!Z7</f>
        <v>0</v>
      </c>
      <c r="W36" s="295">
        <f>-'IRPF-IVA-IS'!AA7</f>
        <v>0</v>
      </c>
      <c r="X36" s="295">
        <f>-'IRPF-IVA-IS'!AB7</f>
        <v>0</v>
      </c>
      <c r="Y36" s="295">
        <f>-'IRPF-IVA-IS'!AC7</f>
        <v>0</v>
      </c>
      <c r="Z36" s="551">
        <f>-'IRPF-IVA-IS'!AD7</f>
        <v>0</v>
      </c>
      <c r="AA36" s="548">
        <f>-'IRPF-IVA-IS'!AE7</f>
        <v>0</v>
      </c>
      <c r="AB36" s="295">
        <f>-'IRPF-IVA-IS'!AF7</f>
        <v>0</v>
      </c>
      <c r="AC36" s="295">
        <f>-'IRPF-IVA-IS'!AG7</f>
        <v>0</v>
      </c>
      <c r="AD36" s="295">
        <f>-'IRPF-IVA-IS'!AH7</f>
        <v>0</v>
      </c>
      <c r="AE36" s="295">
        <f>-'IRPF-IVA-IS'!AI7</f>
        <v>0</v>
      </c>
      <c r="AF36" s="295">
        <f>-'IRPF-IVA-IS'!AJ7</f>
        <v>0</v>
      </c>
      <c r="AG36" s="295">
        <f>-'IRPF-IVA-IS'!AK7</f>
        <v>0</v>
      </c>
      <c r="AH36" s="295">
        <f>-'IRPF-IVA-IS'!AL7</f>
        <v>0</v>
      </c>
      <c r="AI36" s="295">
        <f>-'IRPF-IVA-IS'!AM7</f>
        <v>0</v>
      </c>
      <c r="AJ36" s="295">
        <f>-'IRPF-IVA-IS'!AN7</f>
        <v>0</v>
      </c>
      <c r="AK36" s="295">
        <f>-'IRPF-IVA-IS'!AO7</f>
        <v>0</v>
      </c>
      <c r="AL36" s="549">
        <f>-'IRPF-IVA-IS'!AP7</f>
        <v>0</v>
      </c>
    </row>
    <row r="37" spans="2:41">
      <c r="B37" s="124" t="s">
        <v>207</v>
      </c>
      <c r="C37" s="548">
        <f>-'IRPF-IVA-IS'!G8</f>
        <v>0</v>
      </c>
      <c r="D37" s="295">
        <f>-'IRPF-IVA-IS'!H8</f>
        <v>0</v>
      </c>
      <c r="E37" s="295">
        <f>-'IRPF-IVA-IS'!I8</f>
        <v>0</v>
      </c>
      <c r="F37" s="295">
        <f>-'IRPF-IVA-IS'!J8</f>
        <v>0</v>
      </c>
      <c r="G37" s="295">
        <f>-'IRPF-IVA-IS'!K8</f>
        <v>0</v>
      </c>
      <c r="H37" s="295">
        <f>-'IRPF-IVA-IS'!L8</f>
        <v>0</v>
      </c>
      <c r="I37" s="295">
        <f>-'IRPF-IVA-IS'!M8</f>
        <v>0</v>
      </c>
      <c r="J37" s="295">
        <f>-'IRPF-IVA-IS'!N8</f>
        <v>0</v>
      </c>
      <c r="K37" s="295">
        <f>-'IRPF-IVA-IS'!O8</f>
        <v>0</v>
      </c>
      <c r="L37" s="295">
        <f>-'IRPF-IVA-IS'!P8</f>
        <v>0</v>
      </c>
      <c r="M37" s="295">
        <f>-'IRPF-IVA-IS'!Q8</f>
        <v>0</v>
      </c>
      <c r="N37" s="549">
        <f>-'IRPF-IVA-IS'!R8</f>
        <v>0</v>
      </c>
      <c r="O37" s="550">
        <f>-'IRPF-IVA-IS'!S8</f>
        <v>0</v>
      </c>
      <c r="P37" s="295">
        <f>-'IRPF-IVA-IS'!T8</f>
        <v>0</v>
      </c>
      <c r="Q37" s="295">
        <f>-'IRPF-IVA-IS'!U8</f>
        <v>0</v>
      </c>
      <c r="R37" s="295">
        <f>-'IRPF-IVA-IS'!V8</f>
        <v>0</v>
      </c>
      <c r="S37" s="295">
        <f>-'IRPF-IVA-IS'!W8</f>
        <v>0</v>
      </c>
      <c r="T37" s="295">
        <f>-'IRPF-IVA-IS'!X8</f>
        <v>0</v>
      </c>
      <c r="U37" s="295">
        <f>-'IRPF-IVA-IS'!Y8</f>
        <v>0</v>
      </c>
      <c r="V37" s="295">
        <f>-'IRPF-IVA-IS'!Z8</f>
        <v>0</v>
      </c>
      <c r="W37" s="295">
        <f>-'IRPF-IVA-IS'!AA8</f>
        <v>0</v>
      </c>
      <c r="X37" s="295">
        <f>-'IRPF-IVA-IS'!AB8</f>
        <v>0</v>
      </c>
      <c r="Y37" s="295">
        <f>-'IRPF-IVA-IS'!AC8</f>
        <v>0</v>
      </c>
      <c r="Z37" s="551">
        <f>-'IRPF-IVA-IS'!AD8</f>
        <v>0</v>
      </c>
      <c r="AA37" s="548">
        <f>-'IRPF-IVA-IS'!AE8</f>
        <v>0</v>
      </c>
      <c r="AB37" s="295">
        <f>-'IRPF-IVA-IS'!AF8</f>
        <v>0</v>
      </c>
      <c r="AC37" s="295">
        <f>-'IRPF-IVA-IS'!AG8</f>
        <v>0</v>
      </c>
      <c r="AD37" s="295">
        <f>-'IRPF-IVA-IS'!AH8</f>
        <v>0</v>
      </c>
      <c r="AE37" s="295">
        <f>-'IRPF-IVA-IS'!AI8</f>
        <v>0</v>
      </c>
      <c r="AF37" s="295">
        <f>-'IRPF-IVA-IS'!AJ8</f>
        <v>0</v>
      </c>
      <c r="AG37" s="295">
        <f>-'IRPF-IVA-IS'!AK8</f>
        <v>0</v>
      </c>
      <c r="AH37" s="295">
        <f>-'IRPF-IVA-IS'!AL8</f>
        <v>0</v>
      </c>
      <c r="AI37" s="295">
        <f>-'IRPF-IVA-IS'!AM8</f>
        <v>0</v>
      </c>
      <c r="AJ37" s="295">
        <f>-'IRPF-IVA-IS'!AN8</f>
        <v>0</v>
      </c>
      <c r="AK37" s="295">
        <f>-'IRPF-IVA-IS'!AO8</f>
        <v>0</v>
      </c>
      <c r="AL37" s="549">
        <f>-'IRPF-IVA-IS'!AP8</f>
        <v>0</v>
      </c>
    </row>
    <row r="38" spans="2:41">
      <c r="B38" s="124" t="s">
        <v>182</v>
      </c>
      <c r="C38" s="548"/>
      <c r="D38" s="295">
        <f>-'IRPF-IVA-IS'!H21</f>
        <v>0</v>
      </c>
      <c r="E38" s="295">
        <f>-'IRPF-IVA-IS'!I21</f>
        <v>0</v>
      </c>
      <c r="F38" s="295">
        <f>-'IRPF-IVA-IS'!J21</f>
        <v>0</v>
      </c>
      <c r="G38" s="295">
        <f>-'IRPF-IVA-IS'!K21</f>
        <v>0</v>
      </c>
      <c r="H38" s="295">
        <f>-'IRPF-IVA-IS'!L21</f>
        <v>0</v>
      </c>
      <c r="I38" s="295">
        <f>-'IRPF-IVA-IS'!M21</f>
        <v>0</v>
      </c>
      <c r="J38" s="295">
        <f>-'IRPF-IVA-IS'!N21</f>
        <v>0</v>
      </c>
      <c r="K38" s="295">
        <f>-'IRPF-IVA-IS'!O21</f>
        <v>0</v>
      </c>
      <c r="L38" s="295">
        <f>-'IRPF-IVA-IS'!P21</f>
        <v>0</v>
      </c>
      <c r="M38" s="295">
        <f>-'IRPF-IVA-IS'!Q21</f>
        <v>0</v>
      </c>
      <c r="N38" s="549">
        <f>-'IRPF-IVA-IS'!R21</f>
        <v>0</v>
      </c>
      <c r="O38" s="550">
        <f>-'IRPF-IVA-IS'!S21</f>
        <v>0</v>
      </c>
      <c r="P38" s="295">
        <f>-'IRPF-IVA-IS'!T21</f>
        <v>0</v>
      </c>
      <c r="Q38" s="295">
        <f>-'IRPF-IVA-IS'!U21</f>
        <v>0</v>
      </c>
      <c r="R38" s="295">
        <f>-'IRPF-IVA-IS'!V21</f>
        <v>0</v>
      </c>
      <c r="S38" s="295">
        <f>-'IRPF-IVA-IS'!W21</f>
        <v>0</v>
      </c>
      <c r="T38" s="295">
        <f>-'IRPF-IVA-IS'!X21</f>
        <v>0</v>
      </c>
      <c r="U38" s="295">
        <f>-'IRPF-IVA-IS'!Y21</f>
        <v>0</v>
      </c>
      <c r="V38" s="295">
        <f>-'IRPF-IVA-IS'!Z21</f>
        <v>0</v>
      </c>
      <c r="W38" s="295">
        <f>-'IRPF-IVA-IS'!AA21</f>
        <v>0</v>
      </c>
      <c r="X38" s="295">
        <f>-'IRPF-IVA-IS'!AB21</f>
        <v>0</v>
      </c>
      <c r="Y38" s="295">
        <f>-'IRPF-IVA-IS'!AC21</f>
        <v>0</v>
      </c>
      <c r="Z38" s="551">
        <f>-'IRPF-IVA-IS'!AD21</f>
        <v>0</v>
      </c>
      <c r="AA38" s="548">
        <f>-'IRPF-IVA-IS'!AE21</f>
        <v>0</v>
      </c>
      <c r="AB38" s="295">
        <f>-'IRPF-IVA-IS'!AF21</f>
        <v>0</v>
      </c>
      <c r="AC38" s="295">
        <f>-'IRPF-IVA-IS'!AG21</f>
        <v>0</v>
      </c>
      <c r="AD38" s="295">
        <f>-'IRPF-IVA-IS'!AH21</f>
        <v>0</v>
      </c>
      <c r="AE38" s="295">
        <f>-'IRPF-IVA-IS'!AI21</f>
        <v>0</v>
      </c>
      <c r="AF38" s="295">
        <f>-'IRPF-IVA-IS'!AJ21</f>
        <v>0</v>
      </c>
      <c r="AG38" s="295">
        <f>-'IRPF-IVA-IS'!AK21</f>
        <v>0</v>
      </c>
      <c r="AH38" s="295">
        <f>-'IRPF-IVA-IS'!AL21</f>
        <v>0</v>
      </c>
      <c r="AI38" s="295">
        <f>-'IRPF-IVA-IS'!AM21</f>
        <v>0</v>
      </c>
      <c r="AJ38" s="295">
        <f>-'IRPF-IVA-IS'!AN21</f>
        <v>0</v>
      </c>
      <c r="AK38" s="295">
        <f>-'IRPF-IVA-IS'!AO21</f>
        <v>0</v>
      </c>
      <c r="AL38" s="549">
        <f>-'IRPF-IVA-IS'!AP21</f>
        <v>0</v>
      </c>
    </row>
    <row r="39" spans="2:41">
      <c r="B39" s="547" t="str">
        <f>'Otros Gastos'!B43&amp;'Otros Gastos'!B44</f>
        <v>Impuestos</v>
      </c>
      <c r="C39" s="548">
        <f>SUM('IRPF-IVA-IS'!G63:G66)-Seguimiento!D47</f>
        <v>0</v>
      </c>
      <c r="D39" s="295">
        <f>-'IRPF-IVA-IS'!H36-SUM('IRPF-IVA-IS'!H63:H66)-'IRPF-IVA-IS'!H72-Seguimiento!E47</f>
        <v>0</v>
      </c>
      <c r="E39" s="295">
        <f>-'IRPF-IVA-IS'!I36-SUM('IRPF-IVA-IS'!I63:I66)-'IRPF-IVA-IS'!I72-Seguimiento!F47</f>
        <v>0</v>
      </c>
      <c r="F39" s="295">
        <f ca="1">-'IRPF-IVA-IS'!J36-SUM('IRPF-IVA-IS'!J63:J66)-'IRPF-IVA-IS'!J72-Seguimiento!G47</f>
        <v>0</v>
      </c>
      <c r="G39" s="295">
        <f>-'IRPF-IVA-IS'!K36-SUM('IRPF-IVA-IS'!K63:K66)-'IRPF-IVA-IS'!K72-Seguimiento!H47</f>
        <v>0</v>
      </c>
      <c r="H39" s="295">
        <f>-'IRPF-IVA-IS'!L36-SUM('IRPF-IVA-IS'!L63:L66)-'IRPF-IVA-IS'!L72-Seguimiento!I47</f>
        <v>0</v>
      </c>
      <c r="I39" s="295">
        <f ca="1">-'IRPF-IVA-IS'!M36-SUM('IRPF-IVA-IS'!M63:M66)-'IRPF-IVA-IS'!M72-Seguimiento!J47</f>
        <v>0</v>
      </c>
      <c r="J39" s="295">
        <f>-'IRPF-IVA-IS'!N36-SUM('IRPF-IVA-IS'!N63:N66)-'IRPF-IVA-IS'!N72-Seguimiento!K47</f>
        <v>0</v>
      </c>
      <c r="K39" s="295">
        <f>-'IRPF-IVA-IS'!O36-SUM('IRPF-IVA-IS'!O63:O66)-'IRPF-IVA-IS'!O72-Seguimiento!L47</f>
        <v>0</v>
      </c>
      <c r="L39" s="295">
        <f ca="1">-'IRPF-IVA-IS'!P36-SUM('IRPF-IVA-IS'!P63:P66)-'IRPF-IVA-IS'!P72-Seguimiento!M47</f>
        <v>0</v>
      </c>
      <c r="M39" s="295">
        <f>-'IRPF-IVA-IS'!Q36-SUM('IRPF-IVA-IS'!Q63:Q66)-'IRPF-IVA-IS'!Q72-Seguimiento!N47</f>
        <v>0</v>
      </c>
      <c r="N39" s="549">
        <f>-'IRPF-IVA-IS'!R36-SUM('IRPF-IVA-IS'!R63:R66)-'IRPF-IVA-IS'!R72-Seguimiento!O47</f>
        <v>0</v>
      </c>
      <c r="O39" s="550">
        <f ca="1">-'IRPF-IVA-IS'!S36-SUM('IRPF-IVA-IS'!S63:S66)-'IRPF-IVA-IS'!S72</f>
        <v>0</v>
      </c>
      <c r="P39" s="295">
        <f>-'IRPF-IVA-IS'!T36-SUM('IRPF-IVA-IS'!T63:T66)-'IRPF-IVA-IS'!T72</f>
        <v>0</v>
      </c>
      <c r="Q39" s="295">
        <f>-'IRPF-IVA-IS'!U36-SUM('IRPF-IVA-IS'!U63:U66)-'IRPF-IVA-IS'!U72</f>
        <v>0</v>
      </c>
      <c r="R39" s="295">
        <f ca="1">-'IRPF-IVA-IS'!V36-SUM('IRPF-IVA-IS'!V63:V66)-'IRPF-IVA-IS'!V72</f>
        <v>0</v>
      </c>
      <c r="S39" s="295">
        <f>-'IRPF-IVA-IS'!W36-SUM('IRPF-IVA-IS'!W63:W66)-'IRPF-IVA-IS'!W72</f>
        <v>0</v>
      </c>
      <c r="T39" s="295">
        <f>-'IRPF-IVA-IS'!X36-SUM('IRPF-IVA-IS'!X63:X66)-'IRPF-IVA-IS'!X72</f>
        <v>0</v>
      </c>
      <c r="U39" s="295">
        <f ca="1">-'IRPF-IVA-IS'!Y36-SUM('IRPF-IVA-IS'!Y63:Y66)-'IRPF-IVA-IS'!Y72</f>
        <v>0</v>
      </c>
      <c r="V39" s="295">
        <f>-'IRPF-IVA-IS'!Z36-SUM('IRPF-IVA-IS'!Z63:Z66)-'IRPF-IVA-IS'!Z72</f>
        <v>0</v>
      </c>
      <c r="W39" s="295">
        <f>-'IRPF-IVA-IS'!AA36-SUM('IRPF-IVA-IS'!AA63:AA66)-'IRPF-IVA-IS'!AA72</f>
        <v>0</v>
      </c>
      <c r="X39" s="295">
        <f ca="1">-'IRPF-IVA-IS'!AB36-SUM('IRPF-IVA-IS'!AB63:AB66)-'IRPF-IVA-IS'!AB72</f>
        <v>0</v>
      </c>
      <c r="Y39" s="295">
        <f>-'IRPF-IVA-IS'!AC36-SUM('IRPF-IVA-IS'!AC63:AC66)-'IRPF-IVA-IS'!AC72</f>
        <v>0</v>
      </c>
      <c r="Z39" s="551">
        <f ca="1">-'IRPF-IVA-IS'!AD36-SUM('IRPF-IVA-IS'!AD63:AD66)-'IRPF-IVA-IS'!AD72</f>
        <v>0</v>
      </c>
      <c r="AA39" s="548">
        <f ca="1">-'IRPF-IVA-IS'!AE36-SUM('IRPF-IVA-IS'!AE63:AE66)-'IRPF-IVA-IS'!AE72</f>
        <v>0</v>
      </c>
      <c r="AB39" s="295">
        <f>-'IRPF-IVA-IS'!AF36-SUM('IRPF-IVA-IS'!AF63:AF66)-'IRPF-IVA-IS'!AF72</f>
        <v>0</v>
      </c>
      <c r="AC39" s="295">
        <f>-'IRPF-IVA-IS'!AG36-SUM('IRPF-IVA-IS'!AG63:AG66)-'IRPF-IVA-IS'!AG72</f>
        <v>0</v>
      </c>
      <c r="AD39" s="295">
        <f ca="1">-'IRPF-IVA-IS'!AH36-SUM('IRPF-IVA-IS'!AH63:AH66)-'IRPF-IVA-IS'!AH72</f>
        <v>0</v>
      </c>
      <c r="AE39" s="295">
        <f>-'IRPF-IVA-IS'!AI36-SUM('IRPF-IVA-IS'!AI63:AI66)-'IRPF-IVA-IS'!AI72</f>
        <v>0</v>
      </c>
      <c r="AF39" s="295">
        <f>-'IRPF-IVA-IS'!AJ36-SUM('IRPF-IVA-IS'!AJ63:AJ66)-'IRPF-IVA-IS'!AJ72</f>
        <v>0</v>
      </c>
      <c r="AG39" s="295">
        <f ca="1">-'IRPF-IVA-IS'!AK36-SUM('IRPF-IVA-IS'!AK63:AK66)-'IRPF-IVA-IS'!AK72</f>
        <v>0</v>
      </c>
      <c r="AH39" s="295">
        <f>-'IRPF-IVA-IS'!AL36-SUM('IRPF-IVA-IS'!AL63:AL66)-'IRPF-IVA-IS'!AL72</f>
        <v>0</v>
      </c>
      <c r="AI39" s="295">
        <f>-'IRPF-IVA-IS'!AM36-SUM('IRPF-IVA-IS'!AM63:AM66)-'IRPF-IVA-IS'!AM72</f>
        <v>0</v>
      </c>
      <c r="AJ39" s="295">
        <f ca="1">-'IRPF-IVA-IS'!AN36-SUM('IRPF-IVA-IS'!AN63:AN66)-'IRPF-IVA-IS'!AN72</f>
        <v>0</v>
      </c>
      <c r="AK39" s="295">
        <f>-'IRPF-IVA-IS'!AO36-SUM('IRPF-IVA-IS'!AO63:AO66)-'IRPF-IVA-IS'!AO72</f>
        <v>0</v>
      </c>
      <c r="AL39" s="549">
        <f ca="1">-'IRPF-IVA-IS'!AP36-SUM('IRPF-IVA-IS'!AP63:AP66)-'IRPF-IVA-IS'!AP72</f>
        <v>0</v>
      </c>
    </row>
    <row r="40" spans="2:41" s="33" customFormat="1" ht="11.25" customHeight="1">
      <c r="C40" s="556"/>
      <c r="D40" s="557"/>
      <c r="E40" s="557"/>
      <c r="F40" s="557"/>
      <c r="G40" s="557"/>
      <c r="H40" s="557"/>
      <c r="I40" s="557"/>
      <c r="J40" s="557"/>
      <c r="K40" s="557"/>
      <c r="L40" s="557"/>
      <c r="M40" s="557"/>
      <c r="N40" s="558"/>
      <c r="O40" s="557"/>
      <c r="P40" s="557"/>
      <c r="Q40" s="557"/>
      <c r="R40" s="557"/>
      <c r="S40" s="557"/>
      <c r="T40" s="557"/>
      <c r="U40" s="557"/>
      <c r="V40" s="557"/>
      <c r="W40" s="557"/>
      <c r="X40" s="557"/>
      <c r="Y40" s="557"/>
      <c r="Z40" s="557"/>
      <c r="AA40" s="559"/>
      <c r="AB40" s="557"/>
      <c r="AC40" s="557"/>
      <c r="AD40" s="557"/>
      <c r="AE40" s="557"/>
      <c r="AF40" s="557"/>
      <c r="AG40" s="557"/>
      <c r="AH40" s="557"/>
      <c r="AI40" s="557"/>
      <c r="AJ40" s="557"/>
      <c r="AK40" s="557"/>
      <c r="AL40" s="558"/>
      <c r="AM40" s="117"/>
      <c r="AN40" s="117"/>
      <c r="AO40" s="117"/>
    </row>
    <row r="41" spans="2:41">
      <c r="B41" s="124" t="s">
        <v>208</v>
      </c>
      <c r="C41" s="548">
        <f>-'Inversión-Financiación'!G21</f>
        <v>0</v>
      </c>
      <c r="D41" s="295">
        <f>-'Inversión-Financiación'!H21</f>
        <v>0</v>
      </c>
      <c r="E41" s="295">
        <f>-'Inversión-Financiación'!I21</f>
        <v>0</v>
      </c>
      <c r="F41" s="295">
        <f>-'Inversión-Financiación'!J21</f>
        <v>0</v>
      </c>
      <c r="G41" s="295">
        <f>-'Inversión-Financiación'!K21</f>
        <v>0</v>
      </c>
      <c r="H41" s="295">
        <f>-'Inversión-Financiación'!L21</f>
        <v>0</v>
      </c>
      <c r="I41" s="295">
        <f>-'Inversión-Financiación'!M21</f>
        <v>0</v>
      </c>
      <c r="J41" s="295">
        <f>-'Inversión-Financiación'!N21</f>
        <v>0</v>
      </c>
      <c r="K41" s="295">
        <f>-'Inversión-Financiación'!O21</f>
        <v>0</v>
      </c>
      <c r="L41" s="295">
        <f>-'Inversión-Financiación'!P21</f>
        <v>0</v>
      </c>
      <c r="M41" s="295">
        <f>-'Inversión-Financiación'!Q21</f>
        <v>0</v>
      </c>
      <c r="N41" s="549">
        <f>-'Inversión-Financiación'!R21</f>
        <v>0</v>
      </c>
      <c r="O41" s="550">
        <f>-'Inversión-Financiación'!S21</f>
        <v>0</v>
      </c>
      <c r="P41" s="295">
        <f>-'Inversión-Financiación'!T21</f>
        <v>0</v>
      </c>
      <c r="Q41" s="295">
        <f>-'Inversión-Financiación'!U21</f>
        <v>0</v>
      </c>
      <c r="R41" s="295">
        <f>-'Inversión-Financiación'!V21</f>
        <v>0</v>
      </c>
      <c r="S41" s="295">
        <f>-'Inversión-Financiación'!W21</f>
        <v>0</v>
      </c>
      <c r="T41" s="295">
        <f>-'Inversión-Financiación'!X21</f>
        <v>0</v>
      </c>
      <c r="U41" s="295">
        <f>-'Inversión-Financiación'!Y21</f>
        <v>0</v>
      </c>
      <c r="V41" s="295">
        <f>-'Inversión-Financiación'!Z21</f>
        <v>0</v>
      </c>
      <c r="W41" s="295">
        <f>-'Inversión-Financiación'!AA21</f>
        <v>0</v>
      </c>
      <c r="X41" s="295">
        <f>-'Inversión-Financiación'!AB21</f>
        <v>0</v>
      </c>
      <c r="Y41" s="295">
        <f>-'Inversión-Financiación'!AC21</f>
        <v>0</v>
      </c>
      <c r="Z41" s="551">
        <f>-'Inversión-Financiación'!AD21</f>
        <v>0</v>
      </c>
      <c r="AA41" s="548">
        <f>-'Inversión-Financiación'!AE21</f>
        <v>0</v>
      </c>
      <c r="AB41" s="295">
        <f>-'Inversión-Financiación'!AF21</f>
        <v>0</v>
      </c>
      <c r="AC41" s="295">
        <f>-'Inversión-Financiación'!AG21</f>
        <v>0</v>
      </c>
      <c r="AD41" s="295">
        <f>-'Inversión-Financiación'!AH21</f>
        <v>0</v>
      </c>
      <c r="AE41" s="295">
        <f>-'Inversión-Financiación'!AI21</f>
        <v>0</v>
      </c>
      <c r="AF41" s="295">
        <f>-'Inversión-Financiación'!AJ21</f>
        <v>0</v>
      </c>
      <c r="AG41" s="295">
        <f>-'Inversión-Financiación'!AK21</f>
        <v>0</v>
      </c>
      <c r="AH41" s="295">
        <f>-'Inversión-Financiación'!AL21</f>
        <v>0</v>
      </c>
      <c r="AI41" s="295">
        <f>-'Inversión-Financiación'!AM21</f>
        <v>0</v>
      </c>
      <c r="AJ41" s="295">
        <f>-'Inversión-Financiación'!AN21</f>
        <v>0</v>
      </c>
      <c r="AK41" s="295">
        <f>-'Inversión-Financiación'!AO21</f>
        <v>0</v>
      </c>
      <c r="AL41" s="549">
        <f>-'Inversión-Financiación'!AP21</f>
        <v>0</v>
      </c>
    </row>
    <row r="42" spans="2:41" s="33" customFormat="1" ht="8.25" customHeight="1">
      <c r="C42" s="556"/>
      <c r="D42" s="557"/>
      <c r="E42" s="557"/>
      <c r="F42" s="557"/>
      <c r="G42" s="557"/>
      <c r="H42" s="557"/>
      <c r="I42" s="557"/>
      <c r="J42" s="557"/>
      <c r="K42" s="557"/>
      <c r="L42" s="557"/>
      <c r="M42" s="557"/>
      <c r="N42" s="558"/>
      <c r="O42" s="557"/>
      <c r="P42" s="557"/>
      <c r="Q42" s="557"/>
      <c r="R42" s="557"/>
      <c r="S42" s="557"/>
      <c r="T42" s="557"/>
      <c r="U42" s="557"/>
      <c r="V42" s="557"/>
      <c r="W42" s="557"/>
      <c r="X42" s="557"/>
      <c r="Y42" s="557"/>
      <c r="Z42" s="557"/>
      <c r="AA42" s="559"/>
      <c r="AB42" s="557"/>
      <c r="AC42" s="557"/>
      <c r="AD42" s="557"/>
      <c r="AE42" s="557"/>
      <c r="AF42" s="557"/>
      <c r="AG42" s="557"/>
      <c r="AH42" s="557"/>
      <c r="AI42" s="557"/>
      <c r="AJ42" s="557"/>
      <c r="AK42" s="557"/>
      <c r="AL42" s="558"/>
    </row>
    <row r="43" spans="2:41" s="122" customFormat="1">
      <c r="B43" s="125" t="s">
        <v>209</v>
      </c>
      <c r="C43" s="552">
        <f ca="1">SUM(C7:C41)</f>
        <v>0</v>
      </c>
      <c r="D43" s="300">
        <f t="shared" ref="D43:AL43" ca="1" si="3">SUM(D7:D41)</f>
        <v>0</v>
      </c>
      <c r="E43" s="300">
        <f t="shared" ca="1" si="3"/>
        <v>0</v>
      </c>
      <c r="F43" s="300">
        <f t="shared" ca="1" si="3"/>
        <v>0</v>
      </c>
      <c r="G43" s="300">
        <f t="shared" ca="1" si="3"/>
        <v>0</v>
      </c>
      <c r="H43" s="300">
        <f t="shared" ca="1" si="3"/>
        <v>0</v>
      </c>
      <c r="I43" s="300">
        <f t="shared" ca="1" si="3"/>
        <v>0</v>
      </c>
      <c r="J43" s="300">
        <f t="shared" ca="1" si="3"/>
        <v>0</v>
      </c>
      <c r="K43" s="300">
        <f t="shared" ca="1" si="3"/>
        <v>0</v>
      </c>
      <c r="L43" s="300">
        <f t="shared" ca="1" si="3"/>
        <v>0</v>
      </c>
      <c r="M43" s="300">
        <f t="shared" ca="1" si="3"/>
        <v>0</v>
      </c>
      <c r="N43" s="553">
        <f ca="1">SUM(N7:N41)</f>
        <v>0</v>
      </c>
      <c r="O43" s="554">
        <f t="shared" ca="1" si="3"/>
        <v>0</v>
      </c>
      <c r="P43" s="300">
        <f t="shared" ca="1" si="3"/>
        <v>0</v>
      </c>
      <c r="Q43" s="300">
        <f t="shared" ca="1" si="3"/>
        <v>0</v>
      </c>
      <c r="R43" s="300">
        <f t="shared" ca="1" si="3"/>
        <v>0</v>
      </c>
      <c r="S43" s="300">
        <f t="shared" ca="1" si="3"/>
        <v>0</v>
      </c>
      <c r="T43" s="300">
        <f t="shared" ca="1" si="3"/>
        <v>0</v>
      </c>
      <c r="U43" s="300">
        <f t="shared" ca="1" si="3"/>
        <v>0</v>
      </c>
      <c r="V43" s="300">
        <f t="shared" ca="1" si="3"/>
        <v>0</v>
      </c>
      <c r="W43" s="300">
        <f t="shared" ca="1" si="3"/>
        <v>0</v>
      </c>
      <c r="X43" s="300">
        <f t="shared" ca="1" si="3"/>
        <v>0</v>
      </c>
      <c r="Y43" s="300">
        <f t="shared" ca="1" si="3"/>
        <v>0</v>
      </c>
      <c r="Z43" s="555">
        <f t="shared" ca="1" si="3"/>
        <v>0</v>
      </c>
      <c r="AA43" s="552">
        <f t="shared" ca="1" si="3"/>
        <v>0</v>
      </c>
      <c r="AB43" s="300">
        <f t="shared" ca="1" si="3"/>
        <v>0</v>
      </c>
      <c r="AC43" s="300">
        <f t="shared" ca="1" si="3"/>
        <v>0</v>
      </c>
      <c r="AD43" s="300">
        <f t="shared" ca="1" si="3"/>
        <v>0</v>
      </c>
      <c r="AE43" s="300">
        <f t="shared" ca="1" si="3"/>
        <v>0</v>
      </c>
      <c r="AF43" s="300">
        <f t="shared" ca="1" si="3"/>
        <v>0</v>
      </c>
      <c r="AG43" s="300">
        <f ca="1">SUM(AG7:AG41)</f>
        <v>0</v>
      </c>
      <c r="AH43" s="300">
        <f t="shared" ca="1" si="3"/>
        <v>0</v>
      </c>
      <c r="AI43" s="300">
        <f t="shared" ca="1" si="3"/>
        <v>0</v>
      </c>
      <c r="AJ43" s="300">
        <f t="shared" ca="1" si="3"/>
        <v>0</v>
      </c>
      <c r="AK43" s="300">
        <f t="shared" ca="1" si="3"/>
        <v>0</v>
      </c>
      <c r="AL43" s="553">
        <f t="shared" ca="1" si="3"/>
        <v>0</v>
      </c>
    </row>
    <row r="44" spans="2:41" ht="9.75" customHeight="1">
      <c r="C44" s="559" t="s">
        <v>46</v>
      </c>
      <c r="D44" s="557"/>
      <c r="E44" s="557"/>
      <c r="F44" s="557"/>
      <c r="G44" s="557"/>
      <c r="H44" s="557"/>
      <c r="I44" s="557"/>
      <c r="J44" s="557"/>
      <c r="K44" s="557"/>
      <c r="L44" s="557"/>
      <c r="M44" s="557"/>
      <c r="N44" s="558"/>
      <c r="O44" s="557"/>
      <c r="P44" s="557"/>
      <c r="Q44" s="557"/>
      <c r="R44" s="557"/>
      <c r="S44" s="557"/>
      <c r="T44" s="557"/>
      <c r="U44" s="557"/>
      <c r="V44" s="557"/>
      <c r="W44" s="557"/>
      <c r="X44" s="557"/>
      <c r="Y44" s="557"/>
      <c r="Z44" s="557"/>
      <c r="AA44" s="559"/>
      <c r="AB44" s="557"/>
      <c r="AC44" s="557"/>
      <c r="AD44" s="557"/>
      <c r="AE44" s="557"/>
      <c r="AF44" s="557"/>
      <c r="AG44" s="557"/>
      <c r="AH44" s="557"/>
      <c r="AI44" s="557"/>
      <c r="AJ44" s="557"/>
      <c r="AK44" s="557"/>
      <c r="AL44" s="558"/>
    </row>
    <row r="45" spans="2:41" s="122" customFormat="1">
      <c r="B45" s="125" t="s">
        <v>210</v>
      </c>
      <c r="C45" s="552">
        <f>+Seguimiento!F27</f>
        <v>0</v>
      </c>
      <c r="D45" s="300">
        <f ca="1">+C47</f>
        <v>0</v>
      </c>
      <c r="E45" s="300">
        <f t="shared" ref="E45:AL45" ca="1" si="4">+D47</f>
        <v>0</v>
      </c>
      <c r="F45" s="300">
        <f t="shared" ca="1" si="4"/>
        <v>0</v>
      </c>
      <c r="G45" s="300">
        <f t="shared" ca="1" si="4"/>
        <v>0</v>
      </c>
      <c r="H45" s="300">
        <f t="shared" ca="1" si="4"/>
        <v>0</v>
      </c>
      <c r="I45" s="300">
        <f t="shared" ca="1" si="4"/>
        <v>0</v>
      </c>
      <c r="J45" s="300">
        <f t="shared" ca="1" si="4"/>
        <v>0</v>
      </c>
      <c r="K45" s="300">
        <f t="shared" ca="1" si="4"/>
        <v>0</v>
      </c>
      <c r="L45" s="300">
        <f t="shared" ca="1" si="4"/>
        <v>0</v>
      </c>
      <c r="M45" s="300">
        <f t="shared" ca="1" si="4"/>
        <v>0</v>
      </c>
      <c r="N45" s="553">
        <f t="shared" ca="1" si="4"/>
        <v>0</v>
      </c>
      <c r="O45" s="554">
        <f t="shared" ca="1" si="4"/>
        <v>0</v>
      </c>
      <c r="P45" s="300">
        <f t="shared" ca="1" si="4"/>
        <v>0</v>
      </c>
      <c r="Q45" s="300">
        <f t="shared" ca="1" si="4"/>
        <v>0</v>
      </c>
      <c r="R45" s="300">
        <f t="shared" ca="1" si="4"/>
        <v>0</v>
      </c>
      <c r="S45" s="300">
        <f t="shared" ca="1" si="4"/>
        <v>0</v>
      </c>
      <c r="T45" s="300">
        <f t="shared" ca="1" si="4"/>
        <v>0</v>
      </c>
      <c r="U45" s="300">
        <f t="shared" ca="1" si="4"/>
        <v>0</v>
      </c>
      <c r="V45" s="300">
        <f t="shared" ca="1" si="4"/>
        <v>0</v>
      </c>
      <c r="W45" s="300">
        <f t="shared" ca="1" si="4"/>
        <v>0</v>
      </c>
      <c r="X45" s="300">
        <f t="shared" ca="1" si="4"/>
        <v>0</v>
      </c>
      <c r="Y45" s="300">
        <f t="shared" ca="1" si="4"/>
        <v>0</v>
      </c>
      <c r="Z45" s="555">
        <f t="shared" ca="1" si="4"/>
        <v>0</v>
      </c>
      <c r="AA45" s="552">
        <f t="shared" ca="1" si="4"/>
        <v>0</v>
      </c>
      <c r="AB45" s="300">
        <f t="shared" ca="1" si="4"/>
        <v>0</v>
      </c>
      <c r="AC45" s="300">
        <f t="shared" ca="1" si="4"/>
        <v>0</v>
      </c>
      <c r="AD45" s="300">
        <f t="shared" ca="1" si="4"/>
        <v>0</v>
      </c>
      <c r="AE45" s="300">
        <f t="shared" ca="1" si="4"/>
        <v>0</v>
      </c>
      <c r="AF45" s="300">
        <f t="shared" ca="1" si="4"/>
        <v>0</v>
      </c>
      <c r="AG45" s="300">
        <f t="shared" ca="1" si="4"/>
        <v>0</v>
      </c>
      <c r="AH45" s="300">
        <f t="shared" ca="1" si="4"/>
        <v>0</v>
      </c>
      <c r="AI45" s="300">
        <f t="shared" ca="1" si="4"/>
        <v>0</v>
      </c>
      <c r="AJ45" s="300">
        <f t="shared" ca="1" si="4"/>
        <v>0</v>
      </c>
      <c r="AK45" s="300">
        <f t="shared" ca="1" si="4"/>
        <v>0</v>
      </c>
      <c r="AL45" s="553">
        <f t="shared" ca="1" si="4"/>
        <v>0</v>
      </c>
    </row>
    <row r="46" spans="2:41" s="122" customFormat="1">
      <c r="B46" s="125" t="s">
        <v>211</v>
      </c>
      <c r="C46" s="552">
        <f t="shared" ref="C46:AL46" ca="1" si="5">+C5+C43</f>
        <v>0</v>
      </c>
      <c r="D46" s="300">
        <f t="shared" ca="1" si="5"/>
        <v>0</v>
      </c>
      <c r="E46" s="300">
        <f t="shared" ca="1" si="5"/>
        <v>0</v>
      </c>
      <c r="F46" s="300">
        <f t="shared" ca="1" si="5"/>
        <v>0</v>
      </c>
      <c r="G46" s="300">
        <f t="shared" ca="1" si="5"/>
        <v>0</v>
      </c>
      <c r="H46" s="300">
        <f t="shared" ca="1" si="5"/>
        <v>0</v>
      </c>
      <c r="I46" s="300">
        <f t="shared" ca="1" si="5"/>
        <v>0</v>
      </c>
      <c r="J46" s="300">
        <f t="shared" ca="1" si="5"/>
        <v>0</v>
      </c>
      <c r="K46" s="300">
        <f t="shared" ca="1" si="5"/>
        <v>0</v>
      </c>
      <c r="L46" s="300">
        <f t="shared" ca="1" si="5"/>
        <v>0</v>
      </c>
      <c r="M46" s="300">
        <f t="shared" ca="1" si="5"/>
        <v>0</v>
      </c>
      <c r="N46" s="553">
        <f t="shared" ca="1" si="5"/>
        <v>0</v>
      </c>
      <c r="O46" s="554">
        <f t="shared" ca="1" si="5"/>
        <v>0</v>
      </c>
      <c r="P46" s="300">
        <f t="shared" ca="1" si="5"/>
        <v>0</v>
      </c>
      <c r="Q46" s="300">
        <f t="shared" ca="1" si="5"/>
        <v>0</v>
      </c>
      <c r="R46" s="300">
        <f t="shared" ca="1" si="5"/>
        <v>0</v>
      </c>
      <c r="S46" s="300">
        <f t="shared" ca="1" si="5"/>
        <v>0</v>
      </c>
      <c r="T46" s="300">
        <f t="shared" ca="1" si="5"/>
        <v>0</v>
      </c>
      <c r="U46" s="300">
        <f t="shared" ca="1" si="5"/>
        <v>0</v>
      </c>
      <c r="V46" s="300">
        <f t="shared" ca="1" si="5"/>
        <v>0</v>
      </c>
      <c r="W46" s="300">
        <f t="shared" ca="1" si="5"/>
        <v>0</v>
      </c>
      <c r="X46" s="300">
        <f t="shared" ca="1" si="5"/>
        <v>0</v>
      </c>
      <c r="Y46" s="300">
        <f t="shared" ca="1" si="5"/>
        <v>0</v>
      </c>
      <c r="Z46" s="555">
        <f t="shared" ca="1" si="5"/>
        <v>0</v>
      </c>
      <c r="AA46" s="552">
        <f t="shared" ca="1" si="5"/>
        <v>0</v>
      </c>
      <c r="AB46" s="300">
        <f t="shared" ca="1" si="5"/>
        <v>0</v>
      </c>
      <c r="AC46" s="300">
        <f t="shared" ca="1" si="5"/>
        <v>0</v>
      </c>
      <c r="AD46" s="300">
        <f t="shared" ca="1" si="5"/>
        <v>0</v>
      </c>
      <c r="AE46" s="300">
        <f t="shared" ca="1" si="5"/>
        <v>0</v>
      </c>
      <c r="AF46" s="300">
        <f t="shared" ca="1" si="5"/>
        <v>0</v>
      </c>
      <c r="AG46" s="300">
        <f ca="1">+AG5+AG43</f>
        <v>0</v>
      </c>
      <c r="AH46" s="300">
        <f t="shared" ca="1" si="5"/>
        <v>0</v>
      </c>
      <c r="AI46" s="300">
        <f t="shared" ca="1" si="5"/>
        <v>0</v>
      </c>
      <c r="AJ46" s="300">
        <f t="shared" ca="1" si="5"/>
        <v>0</v>
      </c>
      <c r="AK46" s="300">
        <f t="shared" ca="1" si="5"/>
        <v>0</v>
      </c>
      <c r="AL46" s="553">
        <f t="shared" ca="1" si="5"/>
        <v>0</v>
      </c>
    </row>
    <row r="47" spans="2:41" s="122" customFormat="1" ht="19.5" thickBot="1">
      <c r="B47" s="125" t="s">
        <v>212</v>
      </c>
      <c r="C47" s="560">
        <f ca="1">+C45+C46</f>
        <v>0</v>
      </c>
      <c r="D47" s="561">
        <f ca="1">+D45+D46</f>
        <v>0</v>
      </c>
      <c r="E47" s="561">
        <f t="shared" ref="E47:AL47" ca="1" si="6">+E45+E46</f>
        <v>0</v>
      </c>
      <c r="F47" s="561">
        <f t="shared" ca="1" si="6"/>
        <v>0</v>
      </c>
      <c r="G47" s="561">
        <f t="shared" ca="1" si="6"/>
        <v>0</v>
      </c>
      <c r="H47" s="561">
        <f t="shared" ca="1" si="6"/>
        <v>0</v>
      </c>
      <c r="I47" s="561">
        <f t="shared" ca="1" si="6"/>
        <v>0</v>
      </c>
      <c r="J47" s="561">
        <f t="shared" ca="1" si="6"/>
        <v>0</v>
      </c>
      <c r="K47" s="561">
        <f t="shared" ca="1" si="6"/>
        <v>0</v>
      </c>
      <c r="L47" s="561">
        <f t="shared" ca="1" si="6"/>
        <v>0</v>
      </c>
      <c r="M47" s="561">
        <f t="shared" ca="1" si="6"/>
        <v>0</v>
      </c>
      <c r="N47" s="562">
        <f t="shared" ca="1" si="6"/>
        <v>0</v>
      </c>
      <c r="O47" s="563">
        <f t="shared" ca="1" si="6"/>
        <v>0</v>
      </c>
      <c r="P47" s="561">
        <f t="shared" ca="1" si="6"/>
        <v>0</v>
      </c>
      <c r="Q47" s="561">
        <f t="shared" ca="1" si="6"/>
        <v>0</v>
      </c>
      <c r="R47" s="561">
        <f t="shared" ca="1" si="6"/>
        <v>0</v>
      </c>
      <c r="S47" s="561">
        <f t="shared" ca="1" si="6"/>
        <v>0</v>
      </c>
      <c r="T47" s="561">
        <f t="shared" ca="1" si="6"/>
        <v>0</v>
      </c>
      <c r="U47" s="561">
        <f t="shared" ca="1" si="6"/>
        <v>0</v>
      </c>
      <c r="V47" s="561">
        <f t="shared" ca="1" si="6"/>
        <v>0</v>
      </c>
      <c r="W47" s="561">
        <f t="shared" ca="1" si="6"/>
        <v>0</v>
      </c>
      <c r="X47" s="561">
        <f t="shared" ca="1" si="6"/>
        <v>0</v>
      </c>
      <c r="Y47" s="561">
        <f t="shared" ca="1" si="6"/>
        <v>0</v>
      </c>
      <c r="Z47" s="564">
        <f t="shared" ca="1" si="6"/>
        <v>0</v>
      </c>
      <c r="AA47" s="560">
        <f t="shared" ca="1" si="6"/>
        <v>0</v>
      </c>
      <c r="AB47" s="561">
        <f t="shared" ca="1" si="6"/>
        <v>0</v>
      </c>
      <c r="AC47" s="561">
        <f t="shared" ca="1" si="6"/>
        <v>0</v>
      </c>
      <c r="AD47" s="561">
        <f t="shared" ca="1" si="6"/>
        <v>0</v>
      </c>
      <c r="AE47" s="561">
        <f t="shared" ca="1" si="6"/>
        <v>0</v>
      </c>
      <c r="AF47" s="561">
        <f t="shared" ca="1" si="6"/>
        <v>0</v>
      </c>
      <c r="AG47" s="561">
        <f t="shared" ca="1" si="6"/>
        <v>0</v>
      </c>
      <c r="AH47" s="561">
        <f t="shared" ca="1" si="6"/>
        <v>0</v>
      </c>
      <c r="AI47" s="561">
        <f t="shared" ca="1" si="6"/>
        <v>0</v>
      </c>
      <c r="AJ47" s="561">
        <f t="shared" ca="1" si="6"/>
        <v>0</v>
      </c>
      <c r="AK47" s="561">
        <f t="shared" ca="1" si="6"/>
        <v>0</v>
      </c>
      <c r="AL47" s="562">
        <f t="shared" ca="1" si="6"/>
        <v>0</v>
      </c>
    </row>
    <row r="49" spans="5:16">
      <c r="F49" s="117" t="s">
        <v>46</v>
      </c>
    </row>
    <row r="51" spans="5:16">
      <c r="E51" s="117" t="s">
        <v>46</v>
      </c>
    </row>
    <row r="54" spans="5:16">
      <c r="P54" s="117" t="s">
        <v>46</v>
      </c>
    </row>
    <row r="56" spans="5:16">
      <c r="J56" s="117" t="s">
        <v>46</v>
      </c>
    </row>
  </sheetData>
  <mergeCells count="3">
    <mergeCell ref="C1:N1"/>
    <mergeCell ref="O1:Z1"/>
    <mergeCell ref="AA1:AL1"/>
  </mergeCells>
  <conditionalFormatting sqref="C1:AL2">
    <cfRule type="cellIs" dxfId="337" priority="304" operator="equal">
      <formula>0</formula>
    </cfRule>
  </conditionalFormatting>
  <conditionalFormatting sqref="C1:AL2">
    <cfRule type="cellIs" dxfId="336" priority="303" operator="equal">
      <formula>0</formula>
    </cfRule>
  </conditionalFormatting>
  <conditionalFormatting sqref="B10:B30">
    <cfRule type="cellIs" dxfId="335" priority="302" operator="equal">
      <formula>0</formula>
    </cfRule>
  </conditionalFormatting>
  <conditionalFormatting sqref="B10:B30">
    <cfRule type="cellIs" dxfId="334" priority="301" operator="equal">
      <formula>0</formula>
    </cfRule>
  </conditionalFormatting>
  <conditionalFormatting sqref="B33:B34">
    <cfRule type="cellIs" dxfId="333" priority="300" operator="equal">
      <formula>0</formula>
    </cfRule>
  </conditionalFormatting>
  <conditionalFormatting sqref="B33:B34">
    <cfRule type="cellIs" dxfId="332" priority="299" operator="equal">
      <formula>0</formula>
    </cfRule>
  </conditionalFormatting>
  <conditionalFormatting sqref="B36:B38">
    <cfRule type="cellIs" dxfId="331" priority="298" operator="equal">
      <formula>0</formula>
    </cfRule>
  </conditionalFormatting>
  <conditionalFormatting sqref="B36:B38">
    <cfRule type="cellIs" dxfId="330" priority="297" operator="equal">
      <formula>0</formula>
    </cfRule>
  </conditionalFormatting>
  <conditionalFormatting sqref="B41">
    <cfRule type="cellIs" dxfId="329" priority="296" operator="equal">
      <formula>0</formula>
    </cfRule>
  </conditionalFormatting>
  <conditionalFormatting sqref="B41">
    <cfRule type="cellIs" dxfId="328" priority="295" operator="equal">
      <formula>0</formula>
    </cfRule>
  </conditionalFormatting>
  <conditionalFormatting sqref="B5">
    <cfRule type="cellIs" dxfId="327" priority="294" operator="equal">
      <formula>0</formula>
    </cfRule>
  </conditionalFormatting>
  <conditionalFormatting sqref="B5">
    <cfRule type="cellIs" dxfId="326" priority="293" operator="equal">
      <formula>0</formula>
    </cfRule>
  </conditionalFormatting>
  <conditionalFormatting sqref="B39">
    <cfRule type="cellIs" dxfId="325" priority="170" operator="equal">
      <formula>0</formula>
    </cfRule>
  </conditionalFormatting>
  <conditionalFormatting sqref="B39">
    <cfRule type="cellIs" dxfId="324" priority="169" operator="equal">
      <formula>0</formula>
    </cfRule>
  </conditionalFormatting>
  <conditionalFormatting sqref="C5">
    <cfRule type="cellIs" dxfId="323" priority="84" operator="equal">
      <formula>0</formula>
    </cfRule>
  </conditionalFormatting>
  <conditionalFormatting sqref="C5">
    <cfRule type="cellIs" dxfId="322" priority="83" operator="equal">
      <formula>0</formula>
    </cfRule>
  </conditionalFormatting>
  <conditionalFormatting sqref="C3:C4">
    <cfRule type="cellIs" dxfId="321" priority="82" operator="equal">
      <formula>0</formula>
    </cfRule>
  </conditionalFormatting>
  <conditionalFormatting sqref="C3:C4">
    <cfRule type="cellIs" dxfId="320" priority="81" operator="equal">
      <formula>0</formula>
    </cfRule>
  </conditionalFormatting>
  <conditionalFormatting sqref="C7:C8">
    <cfRule type="cellIs" dxfId="319" priority="80" operator="equal">
      <formula>0</formula>
    </cfRule>
  </conditionalFormatting>
  <conditionalFormatting sqref="C7:C8">
    <cfRule type="cellIs" dxfId="318" priority="79" operator="equal">
      <formula>0</formula>
    </cfRule>
  </conditionalFormatting>
  <conditionalFormatting sqref="C12:C30">
    <cfRule type="cellIs" dxfId="317" priority="78" operator="equal">
      <formula>0</formula>
    </cfRule>
  </conditionalFormatting>
  <conditionalFormatting sqref="C12:C30">
    <cfRule type="cellIs" dxfId="316" priority="77" operator="equal">
      <formula>0</formula>
    </cfRule>
  </conditionalFormatting>
  <conditionalFormatting sqref="C33:C34">
    <cfRule type="cellIs" dxfId="315" priority="76" operator="equal">
      <formula>0</formula>
    </cfRule>
  </conditionalFormatting>
  <conditionalFormatting sqref="C33:C34">
    <cfRule type="cellIs" dxfId="314" priority="75" operator="equal">
      <formula>0</formula>
    </cfRule>
  </conditionalFormatting>
  <conditionalFormatting sqref="C37:C38">
    <cfRule type="cellIs" dxfId="313" priority="74" operator="equal">
      <formula>0</formula>
    </cfRule>
  </conditionalFormatting>
  <conditionalFormatting sqref="C37:C38">
    <cfRule type="cellIs" dxfId="312" priority="73" operator="equal">
      <formula>0</formula>
    </cfRule>
  </conditionalFormatting>
  <conditionalFormatting sqref="C41">
    <cfRule type="cellIs" dxfId="311" priority="72" operator="equal">
      <formula>0</formula>
    </cfRule>
  </conditionalFormatting>
  <conditionalFormatting sqref="C41">
    <cfRule type="cellIs" dxfId="310" priority="71" operator="equal">
      <formula>0</formula>
    </cfRule>
  </conditionalFormatting>
  <conditionalFormatting sqref="C43">
    <cfRule type="cellIs" dxfId="309" priority="70" operator="equal">
      <formula>0</formula>
    </cfRule>
  </conditionalFormatting>
  <conditionalFormatting sqref="C43">
    <cfRule type="cellIs" dxfId="308" priority="69" operator="equal">
      <formula>0</formula>
    </cfRule>
  </conditionalFormatting>
  <conditionalFormatting sqref="D46:AL46">
    <cfRule type="cellIs" dxfId="307" priority="23" operator="equal">
      <formula>0</formula>
    </cfRule>
  </conditionalFormatting>
  <conditionalFormatting sqref="C45:C47">
    <cfRule type="cellIs" dxfId="306" priority="68" operator="equal">
      <formula>0</formula>
    </cfRule>
  </conditionalFormatting>
  <conditionalFormatting sqref="C45:C47">
    <cfRule type="cellIs" dxfId="305" priority="67" operator="equal">
      <formula>0</formula>
    </cfRule>
  </conditionalFormatting>
  <conditionalFormatting sqref="D38">
    <cfRule type="cellIs" dxfId="304" priority="66" operator="equal">
      <formula>0</formula>
    </cfRule>
  </conditionalFormatting>
  <conditionalFormatting sqref="D38">
    <cfRule type="cellIs" dxfId="303" priority="65" operator="equal">
      <formula>0</formula>
    </cfRule>
  </conditionalFormatting>
  <conditionalFormatting sqref="D46:AL46">
    <cfRule type="cellIs" dxfId="302" priority="24" operator="equal">
      <formula>0</formula>
    </cfRule>
  </conditionalFormatting>
  <conditionalFormatting sqref="C11">
    <cfRule type="cellIs" dxfId="301" priority="64" operator="equal">
      <formula>0</formula>
    </cfRule>
  </conditionalFormatting>
  <conditionalFormatting sqref="C11">
    <cfRule type="cellIs" dxfId="300" priority="63" operator="equal">
      <formula>0</formula>
    </cfRule>
  </conditionalFormatting>
  <conditionalFormatting sqref="D5">
    <cfRule type="cellIs" dxfId="299" priority="62" operator="equal">
      <formula>0</formula>
    </cfRule>
  </conditionalFormatting>
  <conditionalFormatting sqref="D5">
    <cfRule type="cellIs" dxfId="298" priority="61" operator="equal">
      <formula>0</formula>
    </cfRule>
  </conditionalFormatting>
  <conditionalFormatting sqref="D3:D4">
    <cfRule type="cellIs" dxfId="297" priority="60" operator="equal">
      <formula>0</formula>
    </cfRule>
  </conditionalFormatting>
  <conditionalFormatting sqref="D3:D4">
    <cfRule type="cellIs" dxfId="296" priority="59" operator="equal">
      <formula>0</formula>
    </cfRule>
  </conditionalFormatting>
  <conditionalFormatting sqref="D7:D8">
    <cfRule type="cellIs" dxfId="295" priority="58" operator="equal">
      <formula>0</formula>
    </cfRule>
  </conditionalFormatting>
  <conditionalFormatting sqref="D7:D8">
    <cfRule type="cellIs" dxfId="294" priority="57" operator="equal">
      <formula>0</formula>
    </cfRule>
  </conditionalFormatting>
  <conditionalFormatting sqref="D12:D30">
    <cfRule type="cellIs" dxfId="293" priority="56" operator="equal">
      <formula>0</formula>
    </cfRule>
  </conditionalFormatting>
  <conditionalFormatting sqref="D12:D30">
    <cfRule type="cellIs" dxfId="292" priority="55" operator="equal">
      <formula>0</formula>
    </cfRule>
  </conditionalFormatting>
  <conditionalFormatting sqref="D37">
    <cfRule type="cellIs" dxfId="291" priority="54" operator="equal">
      <formula>0</formula>
    </cfRule>
  </conditionalFormatting>
  <conditionalFormatting sqref="D37">
    <cfRule type="cellIs" dxfId="290" priority="53" operator="equal">
      <formula>0</formula>
    </cfRule>
  </conditionalFormatting>
  <conditionalFormatting sqref="D41">
    <cfRule type="cellIs" dxfId="289" priority="52" operator="equal">
      <formula>0</formula>
    </cfRule>
  </conditionalFormatting>
  <conditionalFormatting sqref="D41">
    <cfRule type="cellIs" dxfId="288" priority="51" operator="equal">
      <formula>0</formula>
    </cfRule>
  </conditionalFormatting>
  <conditionalFormatting sqref="D43">
    <cfRule type="cellIs" dxfId="287" priority="50" operator="equal">
      <formula>0</formula>
    </cfRule>
  </conditionalFormatting>
  <conditionalFormatting sqref="D43">
    <cfRule type="cellIs" dxfId="286" priority="49" operator="equal">
      <formula>0</formula>
    </cfRule>
  </conditionalFormatting>
  <conditionalFormatting sqref="D47">
    <cfRule type="cellIs" dxfId="285" priority="48" operator="equal">
      <formula>0</formula>
    </cfRule>
  </conditionalFormatting>
  <conditionalFormatting sqref="D47">
    <cfRule type="cellIs" dxfId="284" priority="47" operator="equal">
      <formula>0</formula>
    </cfRule>
  </conditionalFormatting>
  <conditionalFormatting sqref="D45">
    <cfRule type="cellIs" dxfId="283" priority="46" operator="equal">
      <formula>0</formula>
    </cfRule>
  </conditionalFormatting>
  <conditionalFormatting sqref="D45">
    <cfRule type="cellIs" dxfId="282" priority="45" operator="equal">
      <formula>0</formula>
    </cfRule>
  </conditionalFormatting>
  <conditionalFormatting sqref="C11:D11">
    <cfRule type="cellIs" dxfId="281" priority="44" operator="equal">
      <formula>0</formula>
    </cfRule>
  </conditionalFormatting>
  <conditionalFormatting sqref="C11:D11">
    <cfRule type="cellIs" dxfId="280" priority="43" operator="equal">
      <formula>0</formula>
    </cfRule>
  </conditionalFormatting>
  <conditionalFormatting sqref="E5:AL5">
    <cfRule type="cellIs" dxfId="279" priority="42" operator="equal">
      <formula>0</formula>
    </cfRule>
  </conditionalFormatting>
  <conditionalFormatting sqref="E5:AL5">
    <cfRule type="cellIs" dxfId="278" priority="41" operator="equal">
      <formula>0</formula>
    </cfRule>
  </conditionalFormatting>
  <conditionalFormatting sqref="E3:AL4">
    <cfRule type="cellIs" dxfId="277" priority="40" operator="equal">
      <formula>0</formula>
    </cfRule>
  </conditionalFormatting>
  <conditionalFormatting sqref="E3:AL4">
    <cfRule type="cellIs" dxfId="276" priority="39" operator="equal">
      <formula>0</formula>
    </cfRule>
  </conditionalFormatting>
  <conditionalFormatting sqref="E7:AL8">
    <cfRule type="cellIs" dxfId="275" priority="38" operator="equal">
      <formula>0</formula>
    </cfRule>
  </conditionalFormatting>
  <conditionalFormatting sqref="E7:AL8">
    <cfRule type="cellIs" dxfId="274" priority="37" operator="equal">
      <formula>0</formula>
    </cfRule>
  </conditionalFormatting>
  <conditionalFormatting sqref="E12:AL30">
    <cfRule type="cellIs" dxfId="273" priority="36" operator="equal">
      <formula>0</formula>
    </cfRule>
  </conditionalFormatting>
  <conditionalFormatting sqref="E12:AL30">
    <cfRule type="cellIs" dxfId="272" priority="35" operator="equal">
      <formula>0</formula>
    </cfRule>
  </conditionalFormatting>
  <conditionalFormatting sqref="E37:AL37 F36:AL36">
    <cfRule type="cellIs" dxfId="271" priority="34" operator="equal">
      <formula>0</formula>
    </cfRule>
  </conditionalFormatting>
  <conditionalFormatting sqref="E37:AL37 F36:AL36">
    <cfRule type="cellIs" dxfId="270" priority="33" operator="equal">
      <formula>0</formula>
    </cfRule>
  </conditionalFormatting>
  <conditionalFormatting sqref="E41:AL41">
    <cfRule type="cellIs" dxfId="269" priority="32" operator="equal">
      <formula>0</formula>
    </cfRule>
  </conditionalFormatting>
  <conditionalFormatting sqref="E41:AL41">
    <cfRule type="cellIs" dxfId="268" priority="31" operator="equal">
      <formula>0</formula>
    </cfRule>
  </conditionalFormatting>
  <conditionalFormatting sqref="E43:AL43">
    <cfRule type="cellIs" dxfId="267" priority="30" operator="equal">
      <formula>0</formula>
    </cfRule>
  </conditionalFormatting>
  <conditionalFormatting sqref="E43:AL43">
    <cfRule type="cellIs" dxfId="266" priority="29" operator="equal">
      <formula>0</formula>
    </cfRule>
  </conditionalFormatting>
  <conditionalFormatting sqref="E47:AL47">
    <cfRule type="cellIs" dxfId="265" priority="28" operator="equal">
      <formula>0</formula>
    </cfRule>
  </conditionalFormatting>
  <conditionalFormatting sqref="E47:AL47">
    <cfRule type="cellIs" dxfId="264" priority="27" operator="equal">
      <formula>0</formula>
    </cfRule>
  </conditionalFormatting>
  <conditionalFormatting sqref="E45:AL45">
    <cfRule type="cellIs" dxfId="263" priority="26" operator="equal">
      <formula>0</formula>
    </cfRule>
  </conditionalFormatting>
  <conditionalFormatting sqref="E45:AL45">
    <cfRule type="cellIs" dxfId="262" priority="25" operator="equal">
      <formula>0</formula>
    </cfRule>
  </conditionalFormatting>
  <conditionalFormatting sqref="C39">
    <cfRule type="cellIs" dxfId="261" priority="22" operator="equal">
      <formula>0</formula>
    </cfRule>
  </conditionalFormatting>
  <conditionalFormatting sqref="C39">
    <cfRule type="cellIs" dxfId="260" priority="21" operator="equal">
      <formula>0</formula>
    </cfRule>
  </conditionalFormatting>
  <conditionalFormatting sqref="D39">
    <cfRule type="cellIs" dxfId="259" priority="20" operator="equal">
      <formula>0</formula>
    </cfRule>
  </conditionalFormatting>
  <conditionalFormatting sqref="D39">
    <cfRule type="cellIs" dxfId="258" priority="19" operator="equal">
      <formula>0</formula>
    </cfRule>
  </conditionalFormatting>
  <conditionalFormatting sqref="C10">
    <cfRule type="cellIs" dxfId="257" priority="18" operator="equal">
      <formula>0</formula>
    </cfRule>
  </conditionalFormatting>
  <conditionalFormatting sqref="C10">
    <cfRule type="cellIs" dxfId="256" priority="17" operator="equal">
      <formula>0</formula>
    </cfRule>
  </conditionalFormatting>
  <conditionalFormatting sqref="C36:E36">
    <cfRule type="cellIs" dxfId="255" priority="16" operator="equal">
      <formula>0</formula>
    </cfRule>
  </conditionalFormatting>
  <conditionalFormatting sqref="C36:E36">
    <cfRule type="cellIs" dxfId="254" priority="15" operator="equal">
      <formula>0</formula>
    </cfRule>
  </conditionalFormatting>
  <conditionalFormatting sqref="E11:AL11">
    <cfRule type="cellIs" dxfId="253" priority="14" operator="equal">
      <formula>0</formula>
    </cfRule>
  </conditionalFormatting>
  <conditionalFormatting sqref="E11:AL11">
    <cfRule type="cellIs" dxfId="252" priority="13" operator="equal">
      <formula>0</formula>
    </cfRule>
  </conditionalFormatting>
  <conditionalFormatting sqref="D33:AL34">
    <cfRule type="cellIs" dxfId="251" priority="12" operator="equal">
      <formula>0</formula>
    </cfRule>
  </conditionalFormatting>
  <conditionalFormatting sqref="D33:AL34">
    <cfRule type="cellIs" dxfId="250" priority="11" operator="equal">
      <formula>0</formula>
    </cfRule>
  </conditionalFormatting>
  <conditionalFormatting sqref="C32">
    <cfRule type="cellIs" dxfId="249" priority="10" operator="equal">
      <formula>0</formula>
    </cfRule>
  </conditionalFormatting>
  <conditionalFormatting sqref="C32">
    <cfRule type="cellIs" dxfId="248" priority="9" operator="equal">
      <formula>0</formula>
    </cfRule>
  </conditionalFormatting>
  <conditionalFormatting sqref="D32:AL32">
    <cfRule type="cellIs" dxfId="247" priority="8" operator="equal">
      <formula>0</formula>
    </cfRule>
  </conditionalFormatting>
  <conditionalFormatting sqref="D32:AL32">
    <cfRule type="cellIs" dxfId="246" priority="7" operator="equal">
      <formula>0</formula>
    </cfRule>
  </conditionalFormatting>
  <conditionalFormatting sqref="E38:AL38">
    <cfRule type="cellIs" dxfId="245" priority="6" operator="equal">
      <formula>0</formula>
    </cfRule>
  </conditionalFormatting>
  <conditionalFormatting sqref="E38:AL38">
    <cfRule type="cellIs" dxfId="244" priority="5" operator="equal">
      <formula>0</formula>
    </cfRule>
  </conditionalFormatting>
  <conditionalFormatting sqref="D10:AL10">
    <cfRule type="cellIs" dxfId="243" priority="4" operator="equal">
      <formula>0</formula>
    </cfRule>
  </conditionalFormatting>
  <conditionalFormatting sqref="D10:AL10">
    <cfRule type="cellIs" dxfId="242" priority="3" operator="equal">
      <formula>0</formula>
    </cfRule>
  </conditionalFormatting>
  <conditionalFormatting sqref="E39:AL39">
    <cfRule type="cellIs" dxfId="241" priority="2" operator="equal">
      <formula>0</formula>
    </cfRule>
  </conditionalFormatting>
  <conditionalFormatting sqref="E39:AL39">
    <cfRule type="cellIs" dxfId="240" priority="1" operator="equal">
      <formula>0</formula>
    </cfRule>
  </conditionalFormatting>
  <pageMargins left="0.7" right="0.7" top="0.75" bottom="0.75" header="0.3" footer="0.3"/>
  <pageSetup paperSize="9" scale="51" orientation="portrait" r:id="rId1"/>
  <colBreaks count="1" manualBreakCount="1">
    <brk id="1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theme="4" tint="0.59999389629810485"/>
  </sheetPr>
  <dimension ref="A1:N88"/>
  <sheetViews>
    <sheetView zoomScaleNormal="100" workbookViewId="0">
      <pane xSplit="2" ySplit="5" topLeftCell="C55" activePane="bottomRight" state="frozen"/>
      <selection pane="topRight" activeCell="C1" sqref="C1"/>
      <selection pane="bottomLeft" activeCell="A5" sqref="A5"/>
      <selection pane="bottomRight" activeCell="I67" sqref="I67"/>
    </sheetView>
  </sheetViews>
  <sheetFormatPr baseColWidth="10" defaultColWidth="11.42578125" defaultRowHeight="15" outlineLevelCol="1"/>
  <cols>
    <col min="1" max="1" width="4.140625" style="280" customWidth="1"/>
    <col min="2" max="2" width="36.42578125" style="280" customWidth="1"/>
    <col min="3" max="3" width="16.5703125" style="280" customWidth="1"/>
    <col min="4" max="4" width="10.5703125" style="280" customWidth="1"/>
    <col min="5" max="5" width="9.85546875" style="280" customWidth="1"/>
    <col min="6" max="6" width="9.28515625" style="280" customWidth="1"/>
    <col min="7" max="7" width="12.140625" style="280" customWidth="1"/>
    <col min="8" max="8" width="25.140625" style="280" customWidth="1"/>
    <col min="9" max="9" width="14.85546875" style="280" customWidth="1"/>
    <col min="10" max="10" width="13.140625" style="280" bestFit="1" customWidth="1"/>
    <col min="11" max="11" width="11.7109375" style="985" hidden="1" customWidth="1" outlineLevel="1"/>
    <col min="12" max="12" width="11.42578125" style="280" collapsed="1"/>
    <col min="13" max="16384" width="11.42578125" style="280"/>
  </cols>
  <sheetData>
    <row r="1" spans="1:14" ht="1.5" customHeight="1">
      <c r="J1" s="280" t="str">
        <f>I7&amp;" "&amp;C7&amp;" "&amp;C5</f>
        <v xml:space="preserve">  </v>
      </c>
    </row>
    <row r="2" spans="1:14">
      <c r="K2" s="986" t="s">
        <v>818</v>
      </c>
    </row>
    <row r="3" spans="1:14" ht="3.75" customHeight="1">
      <c r="K3" s="986"/>
    </row>
    <row r="4" spans="1:14" ht="2.25" customHeight="1">
      <c r="K4" s="986"/>
    </row>
    <row r="5" spans="1:14" ht="15" customHeight="1">
      <c r="B5" s="280" t="s">
        <v>0</v>
      </c>
      <c r="C5" s="1190"/>
      <c r="D5" s="1191"/>
      <c r="E5" s="1191"/>
      <c r="F5" s="1192"/>
      <c r="G5" s="280" t="s">
        <v>252</v>
      </c>
      <c r="I5" s="1186" t="s">
        <v>281</v>
      </c>
      <c r="J5" s="1187"/>
      <c r="K5" s="986" t="s">
        <v>906</v>
      </c>
    </row>
    <row r="6" spans="1:14" ht="15.75">
      <c r="N6" s="354"/>
    </row>
    <row r="7" spans="1:14" ht="15" customHeight="1">
      <c r="B7" s="280" t="s">
        <v>1</v>
      </c>
      <c r="C7" s="1190"/>
      <c r="D7" s="1191"/>
      <c r="E7" s="1191"/>
      <c r="F7" s="1192"/>
      <c r="G7" s="280" t="s">
        <v>330</v>
      </c>
      <c r="I7" s="1195"/>
      <c r="J7" s="1196"/>
    </row>
    <row r="8" spans="1:14" ht="15" customHeight="1">
      <c r="B8" s="280" t="s">
        <v>845</v>
      </c>
      <c r="C8" s="1204"/>
      <c r="D8" s="1204"/>
      <c r="E8" s="1204"/>
      <c r="F8" s="1204"/>
      <c r="G8" s="445"/>
      <c r="I8" s="1193"/>
      <c r="J8" s="1194"/>
    </row>
    <row r="9" spans="1:14" ht="18" customHeight="1">
      <c r="B9" s="280" t="s">
        <v>670</v>
      </c>
      <c r="C9" s="1206" t="s">
        <v>853</v>
      </c>
      <c r="D9" s="1207"/>
      <c r="E9" s="1207"/>
      <c r="F9" s="1207"/>
      <c r="G9" s="1207"/>
      <c r="H9" s="1207"/>
      <c r="I9" s="1207"/>
      <c r="J9" s="1207"/>
    </row>
    <row r="10" spans="1:14" ht="15.75" customHeight="1">
      <c r="B10" s="280" t="str">
        <f>IF($C$9="Programa Startup","Duración del Programa","")</f>
        <v/>
      </c>
      <c r="C10" s="1147"/>
      <c r="G10" s="280" t="str">
        <f>IF($C$9="Programa Startup","Horas semanales de dedicación","")</f>
        <v/>
      </c>
      <c r="I10" s="1147"/>
    </row>
    <row r="11" spans="1:14" ht="18.75">
      <c r="B11" s="280" t="s">
        <v>331</v>
      </c>
      <c r="C11" s="844">
        <v>44197</v>
      </c>
      <c r="G11" s="280" t="str">
        <f>IF(OR(C9="Renovación ubicación","Seguimiento"),"Fecha alta censal","Fecha prevista o real de alta censal")</f>
        <v>Fecha alta censal</v>
      </c>
      <c r="I11" s="688"/>
      <c r="L11" s="280" t="s">
        <v>46</v>
      </c>
      <c r="N11" s="280" t="s">
        <v>46</v>
      </c>
    </row>
    <row r="12" spans="1:14" ht="9" customHeight="1"/>
    <row r="13" spans="1:14" ht="45" customHeight="1">
      <c r="B13" s="355" t="s">
        <v>253</v>
      </c>
      <c r="C13" s="1188"/>
      <c r="D13" s="1188"/>
      <c r="E13" s="1188"/>
      <c r="F13" s="1188"/>
      <c r="G13" s="1188"/>
      <c r="H13" s="1188"/>
      <c r="I13" s="1188"/>
      <c r="J13" s="1188"/>
      <c r="K13" s="1071" t="s">
        <v>277</v>
      </c>
    </row>
    <row r="14" spans="1:14" ht="56.25" customHeight="1">
      <c r="B14" s="355" t="s">
        <v>869</v>
      </c>
      <c r="C14" s="1188"/>
      <c r="D14" s="1188"/>
      <c r="E14" s="1188"/>
      <c r="F14" s="1188"/>
      <c r="G14" s="1188"/>
      <c r="H14" s="1188"/>
      <c r="I14" s="1188"/>
      <c r="J14" s="1188"/>
      <c r="K14" s="1072" t="s">
        <v>277</v>
      </c>
      <c r="M14" s="280" t="s">
        <v>46</v>
      </c>
    </row>
    <row r="15" spans="1:14" ht="17.25" customHeight="1">
      <c r="K15" s="280"/>
    </row>
    <row r="16" spans="1:14" ht="39">
      <c r="A16" s="1218" t="s">
        <v>900</v>
      </c>
      <c r="B16" s="1111" t="s">
        <v>254</v>
      </c>
      <c r="C16" s="356" t="s">
        <v>255</v>
      </c>
      <c r="D16" s="357" t="s">
        <v>256</v>
      </c>
      <c r="E16" s="356" t="s">
        <v>257</v>
      </c>
      <c r="F16" s="1077" t="s">
        <v>828</v>
      </c>
      <c r="G16" s="356" t="s">
        <v>259</v>
      </c>
      <c r="H16" s="356" t="s">
        <v>260</v>
      </c>
      <c r="I16" s="356" t="s">
        <v>261</v>
      </c>
      <c r="J16" s="356" t="s">
        <v>262</v>
      </c>
      <c r="M16" s="280" t="s">
        <v>46</v>
      </c>
      <c r="N16" s="280" t="s">
        <v>46</v>
      </c>
    </row>
    <row r="17" spans="1:12">
      <c r="A17" s="1218"/>
      <c r="B17" s="1134">
        <f>+C7</f>
        <v>0</v>
      </c>
      <c r="C17" s="1144"/>
      <c r="D17" s="1144"/>
      <c r="E17" s="1135"/>
      <c r="F17" s="1136"/>
      <c r="G17" s="1144"/>
      <c r="H17" s="1144"/>
      <c r="I17" s="1144"/>
      <c r="J17" s="1144"/>
      <c r="K17" s="987" t="s">
        <v>277</v>
      </c>
      <c r="L17" s="280" t="s">
        <v>46</v>
      </c>
    </row>
    <row r="18" spans="1:12">
      <c r="A18" s="1218"/>
      <c r="B18" s="1137"/>
      <c r="C18" s="1144"/>
      <c r="D18" s="1144"/>
      <c r="E18" s="1135"/>
      <c r="F18" s="396"/>
      <c r="G18" s="1144"/>
      <c r="H18" s="1144"/>
      <c r="I18" s="1144"/>
      <c r="J18" s="1144"/>
      <c r="K18" s="1073" t="s">
        <v>277</v>
      </c>
    </row>
    <row r="19" spans="1:12">
      <c r="A19" s="1218"/>
      <c r="B19" s="1137"/>
      <c r="C19" s="1144"/>
      <c r="D19" s="1144"/>
      <c r="E19" s="1135"/>
      <c r="F19" s="396"/>
      <c r="G19" s="1144"/>
      <c r="H19" s="1144"/>
      <c r="I19" s="1144"/>
      <c r="J19" s="1144"/>
      <c r="K19" s="987" t="s">
        <v>277</v>
      </c>
    </row>
    <row r="20" spans="1:12">
      <c r="A20" s="1218"/>
      <c r="B20" s="1138"/>
      <c r="C20" s="1144"/>
      <c r="D20" s="1144"/>
      <c r="E20" s="1140"/>
      <c r="F20" s="1139"/>
      <c r="G20" s="1144"/>
      <c r="H20" s="1144"/>
      <c r="I20" s="1144"/>
      <c r="J20" s="1144"/>
      <c r="K20" s="987" t="s">
        <v>277</v>
      </c>
    </row>
    <row r="21" spans="1:12">
      <c r="A21" s="1218"/>
      <c r="B21" s="1138"/>
      <c r="C21" s="1144"/>
      <c r="D21" s="1144"/>
      <c r="E21" s="1140"/>
      <c r="F21" s="1139"/>
      <c r="G21" s="1144"/>
      <c r="H21" s="1144"/>
      <c r="I21" s="1144"/>
      <c r="J21" s="1144"/>
      <c r="K21" s="987" t="s">
        <v>277</v>
      </c>
    </row>
    <row r="22" spans="1:12" ht="15.75">
      <c r="A22" s="1218"/>
      <c r="B22" s="1142"/>
      <c r="C22" s="1144"/>
      <c r="D22" s="1144"/>
      <c r="E22" s="1143"/>
      <c r="F22" s="1141"/>
      <c r="G22" s="1144"/>
      <c r="H22" s="1144"/>
      <c r="I22" s="1144"/>
      <c r="J22" s="1144"/>
      <c r="K22" s="1072" t="s">
        <v>277</v>
      </c>
    </row>
    <row r="23" spans="1:12">
      <c r="A23" s="1218"/>
    </row>
    <row r="24" spans="1:12" s="445" customFormat="1" ht="15.75">
      <c r="A24" s="1218"/>
      <c r="B24" s="1165" t="s">
        <v>271</v>
      </c>
      <c r="C24" s="1165"/>
      <c r="D24" s="1166"/>
      <c r="E24" s="1179"/>
      <c r="F24" s="1184"/>
      <c r="G24" s="1184"/>
      <c r="H24" s="1184"/>
      <c r="I24" s="1184"/>
      <c r="J24" s="1185"/>
      <c r="K24" s="987" t="s">
        <v>277</v>
      </c>
    </row>
    <row r="25" spans="1:12" s="445" customFormat="1" ht="15.75">
      <c r="A25" s="1218"/>
      <c r="B25" s="1165" t="s">
        <v>599</v>
      </c>
      <c r="C25" s="1165"/>
      <c r="D25" s="1166"/>
      <c r="E25" s="1179"/>
      <c r="F25" s="1184"/>
      <c r="G25" s="1184"/>
      <c r="H25" s="1184"/>
      <c r="I25" s="1184"/>
      <c r="J25" s="1185"/>
      <c r="K25" s="987" t="s">
        <v>277</v>
      </c>
    </row>
    <row r="26" spans="1:12" s="445" customFormat="1" ht="15.75">
      <c r="A26" s="1218"/>
      <c r="B26" s="1163" t="s">
        <v>1262</v>
      </c>
      <c r="C26" s="1163"/>
      <c r="D26" s="1163"/>
      <c r="E26" s="1163"/>
      <c r="F26" s="1163"/>
      <c r="G26" s="1163"/>
      <c r="H26" s="1163"/>
      <c r="I26" s="1163"/>
      <c r="J26" s="534" t="s">
        <v>277</v>
      </c>
      <c r="K26" s="987"/>
    </row>
    <row r="27" spans="1:12" s="445" customFormat="1" ht="15.75">
      <c r="A27" s="1218"/>
      <c r="B27" s="1163" t="s">
        <v>848</v>
      </c>
      <c r="C27" s="1163"/>
      <c r="D27" s="1163"/>
      <c r="E27" s="1163"/>
      <c r="F27" s="1163"/>
      <c r="G27" s="1163"/>
      <c r="H27" s="1163"/>
      <c r="I27" s="1163"/>
      <c r="J27" s="534" t="s">
        <v>277</v>
      </c>
      <c r="K27" s="987"/>
    </row>
    <row r="28" spans="1:12" s="445" customFormat="1" ht="15.75">
      <c r="A28" s="1218"/>
      <c r="B28" s="1163" t="s">
        <v>1266</v>
      </c>
      <c r="C28" s="1163"/>
      <c r="D28" s="1163"/>
      <c r="E28" s="1163"/>
      <c r="F28" s="1163"/>
      <c r="G28" s="1163"/>
      <c r="H28" s="1163"/>
      <c r="I28" s="1163"/>
      <c r="J28" s="534" t="s">
        <v>277</v>
      </c>
      <c r="K28" s="987"/>
    </row>
    <row r="29" spans="1:12" s="445" customFormat="1" ht="60" customHeight="1">
      <c r="A29" s="1218"/>
      <c r="B29" s="1199" t="s">
        <v>1261</v>
      </c>
      <c r="C29" s="1199"/>
      <c r="D29" s="1199"/>
      <c r="E29" s="1205"/>
      <c r="F29" s="1202"/>
      <c r="G29" s="1202"/>
      <c r="H29" s="1202"/>
      <c r="I29" s="1202"/>
      <c r="J29" s="1202"/>
      <c r="K29" s="987" t="s">
        <v>277</v>
      </c>
    </row>
    <row r="30" spans="1:12" ht="12.75" customHeight="1">
      <c r="A30" s="1218"/>
      <c r="C30" s="1182"/>
      <c r="D30" s="1183"/>
      <c r="E30" s="1183"/>
      <c r="F30" s="1183"/>
      <c r="I30" s="359"/>
    </row>
    <row r="31" spans="1:12" ht="63">
      <c r="A31" s="1218"/>
      <c r="B31" s="1111" t="s">
        <v>263</v>
      </c>
      <c r="C31" s="356" t="s">
        <v>264</v>
      </c>
      <c r="D31" s="356" t="s">
        <v>265</v>
      </c>
      <c r="E31" s="356" t="s">
        <v>266</v>
      </c>
      <c r="F31" s="356" t="s">
        <v>903</v>
      </c>
      <c r="G31" s="356" t="str">
        <f>"Total prev."&amp;+Resultados!C2</f>
        <v>Total prev.2021</v>
      </c>
      <c r="H31" s="356" t="str">
        <f>"Total prev."&amp;+Resultados!E2</f>
        <v>Total prev.2022</v>
      </c>
      <c r="I31" s="356" t="str">
        <f>"Total prev. "&amp;+Resultados!G2</f>
        <v>Total prev. 2023</v>
      </c>
      <c r="J31" s="1113" t="str">
        <f>IF(OR(C9="Renovación ubicación",C9="Seguimiento"),"Estimación último año/seguimiento","")</f>
        <v>Estimación último año/seguimiento</v>
      </c>
      <c r="K31" s="985" t="s">
        <v>46</v>
      </c>
    </row>
    <row r="32" spans="1:12" ht="15.75">
      <c r="A32" s="1218"/>
      <c r="B32" s="1111" t="s">
        <v>268</v>
      </c>
      <c r="C32" s="162"/>
      <c r="D32" s="162"/>
      <c r="E32" s="162"/>
      <c r="F32" s="360">
        <f>SUM(C32:E32)</f>
        <v>0</v>
      </c>
      <c r="G32" s="162"/>
      <c r="H32" s="162"/>
      <c r="I32" s="162"/>
      <c r="K32" s="1074" t="s">
        <v>277</v>
      </c>
    </row>
    <row r="33" spans="1:14" ht="15.75">
      <c r="A33" s="1218"/>
      <c r="B33" s="1111" t="s">
        <v>269</v>
      </c>
      <c r="C33" s="162"/>
      <c r="D33" s="162"/>
      <c r="E33" s="162"/>
      <c r="F33" s="360">
        <f>SUM(C33:E33)</f>
        <v>0</v>
      </c>
      <c r="G33" s="162"/>
      <c r="H33" s="162"/>
      <c r="I33" s="162"/>
      <c r="K33" s="1075" t="s">
        <v>277</v>
      </c>
    </row>
    <row r="34" spans="1:14" ht="15.75">
      <c r="A34" s="1218"/>
      <c r="B34" s="1111" t="s">
        <v>896</v>
      </c>
      <c r="C34" s="162"/>
      <c r="D34" s="162"/>
      <c r="E34" s="162"/>
      <c r="F34" s="360">
        <f>SUM(C34:E34)</f>
        <v>0</v>
      </c>
      <c r="G34" s="162"/>
      <c r="H34" s="162"/>
      <c r="I34" s="162"/>
      <c r="K34" s="987" t="s">
        <v>277</v>
      </c>
    </row>
    <row r="35" spans="1:14">
      <c r="A35" s="1218"/>
      <c r="B35" s="976" t="s">
        <v>267</v>
      </c>
      <c r="C35" s="273">
        <f t="shared" ref="C35:J35" si="0">SUM(C32:C34)</f>
        <v>0</v>
      </c>
      <c r="D35" s="273">
        <f t="shared" si="0"/>
        <v>0</v>
      </c>
      <c r="E35" s="273">
        <f t="shared" si="0"/>
        <v>0</v>
      </c>
      <c r="F35" s="273">
        <f t="shared" si="0"/>
        <v>0</v>
      </c>
      <c r="G35" s="273">
        <f t="shared" si="0"/>
        <v>0</v>
      </c>
      <c r="H35" s="273">
        <f t="shared" si="0"/>
        <v>0</v>
      </c>
      <c r="I35" s="273">
        <f t="shared" si="0"/>
        <v>0</v>
      </c>
      <c r="J35" s="273">
        <f t="shared" si="0"/>
        <v>0</v>
      </c>
    </row>
    <row r="36" spans="1:14" ht="59.25" customHeight="1">
      <c r="A36" s="1218"/>
      <c r="B36" s="1199" t="s">
        <v>600</v>
      </c>
      <c r="C36" s="1199"/>
      <c r="D36" s="1200"/>
      <c r="E36" s="1201"/>
      <c r="F36" s="1202"/>
      <c r="G36" s="1202"/>
      <c r="H36" s="1202"/>
      <c r="I36" s="1202"/>
      <c r="J36" s="1203"/>
      <c r="K36" s="1072" t="s">
        <v>277</v>
      </c>
    </row>
    <row r="37" spans="1:14" ht="15.75">
      <c r="A37" s="1218"/>
      <c r="B37" s="1165" t="s">
        <v>332</v>
      </c>
      <c r="C37" s="1165"/>
      <c r="D37" s="1166"/>
      <c r="E37" s="1179"/>
      <c r="F37" s="1180"/>
      <c r="G37" s="1180"/>
      <c r="H37" s="1180"/>
      <c r="I37" s="1180"/>
      <c r="J37" s="1181"/>
      <c r="K37" s="1072" t="s">
        <v>277</v>
      </c>
    </row>
    <row r="38" spans="1:14" ht="15.75">
      <c r="A38" s="1218"/>
      <c r="B38" s="1178" t="s">
        <v>1258</v>
      </c>
      <c r="C38" s="1163"/>
      <c r="D38" s="1163"/>
      <c r="E38" s="1163"/>
      <c r="F38" s="1163"/>
      <c r="G38" s="1163"/>
      <c r="H38" s="1163"/>
      <c r="I38" s="1163"/>
      <c r="J38" s="534" t="s">
        <v>341</v>
      </c>
    </row>
    <row r="39" spans="1:14">
      <c r="A39" s="445"/>
      <c r="K39" s="1076"/>
    </row>
    <row r="40" spans="1:14" ht="36.75" customHeight="1">
      <c r="A40" s="1218" t="s">
        <v>1259</v>
      </c>
      <c r="B40" s="1165" t="s">
        <v>333</v>
      </c>
      <c r="C40" s="1165"/>
      <c r="D40" s="1166"/>
      <c r="E40" s="1179"/>
      <c r="F40" s="1180"/>
      <c r="G40" s="1180"/>
      <c r="H40" s="1180"/>
      <c r="I40" s="1180"/>
      <c r="J40" s="1181"/>
      <c r="K40" s="987" t="s">
        <v>277</v>
      </c>
      <c r="N40" s="280" t="s">
        <v>46</v>
      </c>
    </row>
    <row r="41" spans="1:14" ht="45" customHeight="1">
      <c r="A41" s="1218"/>
      <c r="B41" s="1165" t="s">
        <v>334</v>
      </c>
      <c r="C41" s="1176"/>
      <c r="D41" s="1177"/>
      <c r="E41" s="1179"/>
      <c r="F41" s="1180"/>
      <c r="G41" s="1180"/>
      <c r="H41" s="1180"/>
      <c r="I41" s="1180"/>
      <c r="J41" s="1181"/>
      <c r="K41" s="1072" t="s">
        <v>277</v>
      </c>
    </row>
    <row r="42" spans="1:14" ht="83.25" customHeight="1">
      <c r="A42" s="1218"/>
      <c r="B42" s="1165" t="s">
        <v>888</v>
      </c>
      <c r="C42" s="1165"/>
      <c r="D42" s="1166"/>
      <c r="E42" s="1179"/>
      <c r="F42" s="1180"/>
      <c r="G42" s="1180"/>
      <c r="H42" s="1180"/>
      <c r="I42" s="1180"/>
      <c r="J42" s="1181"/>
      <c r="K42" s="1072" t="s">
        <v>277</v>
      </c>
    </row>
    <row r="43" spans="1:14" ht="15.75">
      <c r="A43" s="1218"/>
      <c r="B43" s="1163" t="s">
        <v>1264</v>
      </c>
      <c r="C43" s="1163"/>
      <c r="D43" s="1163"/>
      <c r="E43" s="1163"/>
      <c r="F43" s="1163"/>
      <c r="G43" s="1163"/>
      <c r="H43" s="1163"/>
      <c r="I43" s="1163"/>
      <c r="J43" s="534" t="str">
        <f>IF(E42="","NO","SI")</f>
        <v>NO</v>
      </c>
      <c r="K43" s="1072"/>
    </row>
    <row r="44" spans="1:14" ht="59.25" customHeight="1">
      <c r="A44" s="1218"/>
      <c r="B44" s="1165" t="s">
        <v>908</v>
      </c>
      <c r="C44" s="1165"/>
      <c r="D44" s="1166"/>
      <c r="E44" s="1179"/>
      <c r="F44" s="1180"/>
      <c r="G44" s="1180"/>
      <c r="H44" s="1180"/>
      <c r="I44" s="1180"/>
      <c r="J44" s="1181"/>
      <c r="K44" s="1073" t="s">
        <v>277</v>
      </c>
    </row>
    <row r="45" spans="1:14" ht="43.5" customHeight="1">
      <c r="A45" s="1218"/>
      <c r="B45" s="1165" t="s">
        <v>360</v>
      </c>
      <c r="C45" s="1165"/>
      <c r="D45" s="1166"/>
      <c r="E45" s="1179"/>
      <c r="F45" s="1180"/>
      <c r="G45" s="1180"/>
      <c r="H45" s="1180"/>
      <c r="I45" s="1180"/>
      <c r="J45" s="1181"/>
      <c r="K45" s="1073" t="s">
        <v>277</v>
      </c>
    </row>
    <row r="46" spans="1:14" ht="15.75">
      <c r="A46" s="1218"/>
      <c r="B46" s="1163" t="s">
        <v>1265</v>
      </c>
      <c r="C46" s="1163"/>
      <c r="D46" s="1163"/>
      <c r="E46" s="1163"/>
      <c r="F46" s="1163"/>
      <c r="G46" s="1163"/>
      <c r="H46" s="1163"/>
      <c r="I46" s="1163"/>
      <c r="J46" s="534" t="str">
        <f>IF(E45="","NO","SI")</f>
        <v>NO</v>
      </c>
      <c r="K46" s="1073"/>
    </row>
    <row r="47" spans="1:14" ht="54" customHeight="1">
      <c r="A47" s="1218"/>
      <c r="B47" s="1165" t="s">
        <v>889</v>
      </c>
      <c r="C47" s="1165"/>
      <c r="D47" s="1166"/>
      <c r="E47" s="1179"/>
      <c r="F47" s="1180"/>
      <c r="G47" s="1180"/>
      <c r="H47" s="1180"/>
      <c r="I47" s="1180"/>
      <c r="J47" s="1181"/>
      <c r="K47" s="1073" t="s">
        <v>277</v>
      </c>
    </row>
    <row r="48" spans="1:14" ht="51" customHeight="1">
      <c r="A48" s="1218"/>
      <c r="B48" s="367" t="s">
        <v>310</v>
      </c>
      <c r="C48" s="1109"/>
      <c r="D48" s="1110"/>
      <c r="E48" s="1179"/>
      <c r="F48" s="1180"/>
      <c r="G48" s="1180"/>
      <c r="H48" s="1180"/>
      <c r="I48" s="1180"/>
      <c r="J48" s="1181"/>
      <c r="K48" s="1073" t="s">
        <v>277</v>
      </c>
    </row>
    <row r="49" spans="1:11" ht="39" customHeight="1">
      <c r="A49" s="1218"/>
      <c r="B49" s="1165" t="s">
        <v>275</v>
      </c>
      <c r="C49" s="1165"/>
      <c r="D49" s="1166"/>
      <c r="E49" s="1179"/>
      <c r="F49" s="1180"/>
      <c r="G49" s="1180"/>
      <c r="H49" s="1180"/>
      <c r="I49" s="1180"/>
      <c r="J49" s="1181"/>
      <c r="K49" s="987" t="s">
        <v>277</v>
      </c>
    </row>
    <row r="50" spans="1:11" ht="45.75" customHeight="1">
      <c r="A50" s="1218"/>
      <c r="B50" s="1165" t="s">
        <v>319</v>
      </c>
      <c r="C50" s="1165"/>
      <c r="D50" s="1166"/>
      <c r="E50" s="1179"/>
      <c r="F50" s="1180"/>
      <c r="G50" s="1180"/>
      <c r="H50" s="1180"/>
      <c r="I50" s="1180"/>
      <c r="J50" s="1181"/>
      <c r="K50" s="1073" t="s">
        <v>277</v>
      </c>
    </row>
    <row r="51" spans="1:11" ht="34.5" customHeight="1">
      <c r="A51" s="1218"/>
      <c r="B51" s="1165" t="s">
        <v>601</v>
      </c>
      <c r="C51" s="1165"/>
      <c r="D51" s="1166"/>
      <c r="E51" s="1179"/>
      <c r="F51" s="1180"/>
      <c r="G51" s="1180"/>
      <c r="H51" s="1180"/>
      <c r="I51" s="1180"/>
      <c r="J51" s="1181"/>
      <c r="K51" s="1073" t="s">
        <v>277</v>
      </c>
    </row>
    <row r="52" spans="1:11" ht="34.5" customHeight="1">
      <c r="A52" s="1218"/>
      <c r="B52" s="1165" t="s">
        <v>678</v>
      </c>
      <c r="C52" s="1165"/>
      <c r="D52" s="1166"/>
      <c r="E52" s="1179"/>
      <c r="F52" s="1180"/>
      <c r="G52" s="1180"/>
      <c r="H52" s="1180"/>
      <c r="I52" s="1180"/>
      <c r="J52" s="1181"/>
      <c r="K52" s="1073" t="s">
        <v>277</v>
      </c>
    </row>
    <row r="53" spans="1:11" ht="15.75">
      <c r="A53" s="1112"/>
      <c r="B53" s="1163" t="s">
        <v>864</v>
      </c>
      <c r="C53" s="1163"/>
      <c r="D53" s="1163"/>
      <c r="E53" s="1163"/>
      <c r="F53" s="1163"/>
      <c r="G53" s="1163"/>
      <c r="H53" s="1163"/>
      <c r="I53" s="1163"/>
      <c r="J53" s="534" t="str">
        <f>IF(E45="","NO","SI")</f>
        <v>NO</v>
      </c>
      <c r="K53" s="1073" t="s">
        <v>277</v>
      </c>
    </row>
    <row r="54" spans="1:11" ht="15.75">
      <c r="A54" s="1112"/>
      <c r="B54" s="1163" t="s">
        <v>1263</v>
      </c>
      <c r="C54" s="1163"/>
      <c r="D54" s="1163"/>
      <c r="E54" s="1163"/>
      <c r="F54" s="1163"/>
      <c r="G54" s="1163"/>
      <c r="H54" s="1163"/>
      <c r="I54" s="1163"/>
      <c r="J54" s="534"/>
      <c r="K54" s="1073" t="s">
        <v>277</v>
      </c>
    </row>
    <row r="55" spans="1:11" ht="15.75">
      <c r="A55" s="1112"/>
      <c r="B55" s="1163" t="s">
        <v>849</v>
      </c>
      <c r="C55" s="1163"/>
      <c r="D55" s="1163"/>
      <c r="E55" s="1163"/>
      <c r="F55" s="1163"/>
      <c r="G55" s="1163"/>
      <c r="H55" s="1163"/>
      <c r="I55" s="1163"/>
      <c r="J55" s="534" t="s">
        <v>277</v>
      </c>
      <c r="K55" s="1073" t="s">
        <v>277</v>
      </c>
    </row>
    <row r="56" spans="1:11" ht="15" customHeight="1">
      <c r="K56" s="1073"/>
    </row>
    <row r="57" spans="1:11" ht="15.75">
      <c r="A57" s="1218" t="s">
        <v>1260</v>
      </c>
      <c r="B57" s="1163" t="s">
        <v>846</v>
      </c>
      <c r="C57" s="1163"/>
      <c r="D57" s="1163"/>
      <c r="E57" s="1163"/>
      <c r="F57" s="1163"/>
      <c r="G57" s="1163"/>
      <c r="H57" s="1163"/>
      <c r="I57" s="1163"/>
      <c r="J57" s="534" t="s">
        <v>277</v>
      </c>
      <c r="K57" s="1073" t="s">
        <v>277</v>
      </c>
    </row>
    <row r="58" spans="1:11" ht="15.75">
      <c r="A58" s="1218"/>
      <c r="B58" s="1163" t="s">
        <v>847</v>
      </c>
      <c r="C58" s="1163" t="s">
        <v>277</v>
      </c>
      <c r="D58" s="1163"/>
      <c r="E58" s="1163"/>
      <c r="F58" s="1163"/>
      <c r="G58" s="1163"/>
      <c r="H58" s="1163"/>
      <c r="I58" s="1163"/>
      <c r="J58" s="534" t="s">
        <v>277</v>
      </c>
      <c r="K58" s="1073" t="s">
        <v>277</v>
      </c>
    </row>
    <row r="59" spans="1:11" ht="33.75" customHeight="1">
      <c r="A59" s="1218"/>
      <c r="B59" s="1164" t="s">
        <v>890</v>
      </c>
      <c r="C59" s="1165"/>
      <c r="D59" s="1166"/>
      <c r="E59" s="1179"/>
      <c r="F59" s="1180"/>
      <c r="G59" s="1180"/>
      <c r="H59" s="1180"/>
      <c r="I59" s="1180"/>
      <c r="J59" s="1181"/>
      <c r="K59" s="987" t="s">
        <v>277</v>
      </c>
    </row>
    <row r="60" spans="1:11" ht="33.75" customHeight="1">
      <c r="A60" s="1218"/>
      <c r="B60" s="1164" t="s">
        <v>320</v>
      </c>
      <c r="C60" s="1165"/>
      <c r="D60" s="1166"/>
      <c r="E60" s="1179"/>
      <c r="F60" s="1180"/>
      <c r="G60" s="1180"/>
      <c r="H60" s="1180"/>
      <c r="I60" s="1180"/>
      <c r="J60" s="1181"/>
      <c r="K60" s="1072" t="s">
        <v>277</v>
      </c>
    </row>
    <row r="61" spans="1:11" ht="14.25" customHeight="1" thickBot="1">
      <c r="A61" s="1218"/>
      <c r="K61" s="280" t="s">
        <v>46</v>
      </c>
    </row>
    <row r="62" spans="1:11" ht="14.25" customHeight="1" thickBot="1">
      <c r="A62" s="1218"/>
      <c r="B62" s="1197" t="s">
        <v>359</v>
      </c>
      <c r="C62" s="1198"/>
      <c r="D62" s="173"/>
      <c r="E62" s="36"/>
      <c r="F62" s="36"/>
      <c r="G62" s="36"/>
      <c r="I62" s="535" t="s">
        <v>532</v>
      </c>
      <c r="J62" s="536">
        <f>IF(D62="SI",0.19,0)</f>
        <v>0</v>
      </c>
      <c r="K62" s="280"/>
    </row>
    <row r="63" spans="1:11" ht="14.25" customHeight="1" thickBot="1">
      <c r="A63" s="1218"/>
      <c r="B63" s="280" t="s">
        <v>376</v>
      </c>
      <c r="C63" s="1186"/>
      <c r="D63" s="1187"/>
      <c r="E63" s="1187"/>
      <c r="F63" s="1189"/>
      <c r="K63" s="280"/>
    </row>
    <row r="64" spans="1:11" ht="18.75">
      <c r="A64" s="1218"/>
      <c r="B64" s="576" t="s">
        <v>531</v>
      </c>
      <c r="C64" s="1209" t="str">
        <f>IF($I$5="Empresario Individual",I5,"")</f>
        <v/>
      </c>
      <c r="D64" s="1209"/>
      <c r="E64" s="1215"/>
      <c r="F64" s="1208" t="str">
        <f>IF($I$5="Empresario Individual","",I5)</f>
        <v>S.L.</v>
      </c>
      <c r="G64" s="1209"/>
      <c r="H64" s="1209"/>
      <c r="I64" s="586"/>
      <c r="J64" s="587"/>
      <c r="K64" s="987"/>
    </row>
    <row r="65" spans="1:14" ht="15.75">
      <c r="A65" s="1218"/>
      <c r="B65" s="577"/>
      <c r="C65" s="578"/>
      <c r="D65" s="578"/>
      <c r="E65" s="579"/>
      <c r="F65" s="1210" t="str">
        <f>IF(OR(I5="Entidad sin ánimo de lucro",I5="Empresario Individual"),"","¿Tiene derecho al tipo reducido del I.S.?")</f>
        <v>¿Tiene derecho al tipo reducido del I.S.?</v>
      </c>
      <c r="G65" s="1211"/>
      <c r="H65" s="1212"/>
      <c r="I65" s="163" t="s">
        <v>277</v>
      </c>
      <c r="J65" s="579"/>
      <c r="K65" s="987"/>
      <c r="L65" s="280" t="s">
        <v>46</v>
      </c>
    </row>
    <row r="66" spans="1:14" ht="15.75">
      <c r="A66" s="1218"/>
      <c r="B66" s="537" t="str">
        <f>IF(I5="Empresario Individual","% Tipos impositivo IRPF (Estimación)","")</f>
        <v/>
      </c>
      <c r="C66" s="805">
        <v>0.2</v>
      </c>
      <c r="D66" s="578"/>
      <c r="E66" s="579"/>
      <c r="F66" s="577"/>
      <c r="G66" s="578"/>
      <c r="H66" s="589" t="s">
        <v>121</v>
      </c>
      <c r="I66" s="589" t="s">
        <v>122</v>
      </c>
      <c r="J66" s="588" t="s">
        <v>568</v>
      </c>
      <c r="K66" s="987"/>
    </row>
    <row r="67" spans="1:14" ht="15.75">
      <c r="A67" s="1218"/>
      <c r="B67" s="537" t="str">
        <f>IF(I5="Empresario Individual","Tipus de tributación","")</f>
        <v/>
      </c>
      <c r="C67" s="1213" t="s">
        <v>522</v>
      </c>
      <c r="D67" s="1213"/>
      <c r="E67" s="1214"/>
      <c r="F67" s="1210" t="str">
        <f>IF(I5="Empresario Individual","","Tipo Impositivo de Sociedades")</f>
        <v>Tipo Impositivo de Sociedades</v>
      </c>
      <c r="G67" s="1211"/>
      <c r="H67" s="574">
        <f ca="1">IF($I$5="Empresario individual",0,IF(Resultados!$C$21&lt;0,0,IF($I$5="Entidad sin ánimo de lucro",DATOS!$O$7,IF($I$65="SI",DATOS!$O$8,IF($I$5="Sociedad cooperativa",DATOS!$O$6,DATOS!$O$3)))))</f>
        <v>0.25</v>
      </c>
      <c r="I67" s="574">
        <f ca="1">IF($I$5="Empresario individual",0,IF(Resultados!$C$21+Resultados!$E$21&lt;0,0,IF($I$5="Entidad sin ánimo de lucro",DATOS!$O$7,IF($I$65="SI",DATOS!$O$8,IF($I$5="Sociedad cooperativa",DATOS!$O$6,DATOS!$O$3)))))</f>
        <v>0.25</v>
      </c>
      <c r="J67" s="575">
        <f ca="1">IF(H67+I67=30%,IF(AND(H67+I67=30%,I5="Sociedad Cooperativa"),DATOS!O6,DATOS!O3),IF($I$5="Empresario individual",0,IF(Resultados!$C$21+Resultados!$E$21+Resultados!$G$21&lt;0,0,IF($I$5="Entidad sin ánimo de lucro",DATOS!$O$7,IF($I$65="SI",DATOS!$O$8,IF($I$5="Sociedad cooperativa",DATOS!$O$6,DATOS!$O$3))))))</f>
        <v>0.25</v>
      </c>
      <c r="K67" s="987"/>
    </row>
    <row r="68" spans="1:14" ht="15.75">
      <c r="A68" s="1218"/>
      <c r="B68" s="537" t="str">
        <f>IF($C$67=DATOS!$P$3,"Importe de pago módulos IRPF trimestral","")</f>
        <v/>
      </c>
      <c r="C68" s="163"/>
      <c r="D68" s="578"/>
      <c r="E68" s="580"/>
      <c r="F68" s="577"/>
      <c r="G68" s="578"/>
      <c r="H68" s="581"/>
      <c r="I68" s="581"/>
      <c r="J68" s="579"/>
      <c r="K68" s="987"/>
    </row>
    <row r="69" spans="1:14">
      <c r="A69" s="1218"/>
      <c r="B69" s="577"/>
      <c r="C69" s="585"/>
      <c r="D69" s="578"/>
      <c r="E69" s="579"/>
      <c r="F69" s="577"/>
      <c r="G69" s="578"/>
      <c r="H69" s="578"/>
      <c r="I69" s="578"/>
      <c r="J69" s="579"/>
      <c r="K69" s="987"/>
    </row>
    <row r="70" spans="1:14" ht="15.75">
      <c r="A70" s="1218"/>
      <c r="B70" s="537" t="str">
        <f>IF($C$67=DATOS!$P$3,"¿IVA en recárgo de equivalencia?","")</f>
        <v/>
      </c>
      <c r="C70" s="572"/>
      <c r="D70" s="578"/>
      <c r="E70" s="579"/>
      <c r="F70" s="577"/>
      <c r="G70" s="578"/>
      <c r="H70" s="578"/>
      <c r="I70" s="578"/>
      <c r="J70" s="579"/>
      <c r="K70" s="987"/>
    </row>
    <row r="71" spans="1:14" ht="16.5" thickBot="1">
      <c r="A71" s="1218"/>
      <c r="B71" s="538" t="str">
        <f>IF(AND(C67=DATOS!P3,C70="NO",I5="Empresario Individual"),"Importe de pago módulo IVA trimestral","")</f>
        <v/>
      </c>
      <c r="C71" s="573"/>
      <c r="D71" s="358"/>
      <c r="E71" s="582"/>
      <c r="F71" s="583"/>
      <c r="G71" s="358"/>
      <c r="H71" s="358"/>
      <c r="I71" s="358"/>
      <c r="J71" s="584"/>
      <c r="K71" s="987"/>
    </row>
    <row r="72" spans="1:14" ht="15.75" customHeight="1">
      <c r="K72" s="280"/>
    </row>
    <row r="73" spans="1:14" ht="17.25" customHeight="1">
      <c r="A73" s="1218" t="s">
        <v>677</v>
      </c>
      <c r="B73" s="1164" t="s">
        <v>328</v>
      </c>
      <c r="C73" s="1165"/>
      <c r="D73" s="1165"/>
      <c r="E73" s="1165"/>
      <c r="F73" s="1165"/>
      <c r="G73" s="1165"/>
      <c r="H73" s="1165"/>
      <c r="I73" s="1165"/>
      <c r="J73" s="1166"/>
    </row>
    <row r="74" spans="1:14" ht="15.75" customHeight="1">
      <c r="A74" s="1218"/>
      <c r="B74" s="273"/>
      <c r="C74" s="1169" t="s">
        <v>436</v>
      </c>
      <c r="D74" s="1169"/>
      <c r="E74" s="1169"/>
      <c r="F74" s="1169"/>
      <c r="G74" s="1175" t="s">
        <v>437</v>
      </c>
      <c r="H74" s="1175"/>
    </row>
    <row r="75" spans="1:14" ht="15.75" customHeight="1" thickBot="1">
      <c r="A75" s="1218"/>
      <c r="B75" s="273"/>
      <c r="C75" s="1173" t="s">
        <v>439</v>
      </c>
      <c r="D75" s="1173"/>
      <c r="E75" s="1173"/>
      <c r="F75" s="1173"/>
      <c r="G75" s="1173" t="s">
        <v>438</v>
      </c>
      <c r="H75" s="1173"/>
    </row>
    <row r="76" spans="1:14" ht="85.5" customHeight="1" thickBot="1">
      <c r="A76" s="1218"/>
      <c r="B76" s="444" t="s">
        <v>434</v>
      </c>
      <c r="C76" s="1167">
        <v>1</v>
      </c>
      <c r="D76" s="1170"/>
      <c r="E76" s="1170"/>
      <c r="F76" s="1168"/>
      <c r="G76" s="1167">
        <v>2</v>
      </c>
      <c r="H76" s="1172"/>
      <c r="N76" s="280" t="s">
        <v>46</v>
      </c>
    </row>
    <row r="77" spans="1:14" s="445" customFormat="1" ht="15.75" customHeight="1" thickBot="1">
      <c r="A77" s="1218"/>
      <c r="B77" s="446"/>
      <c r="C77" s="1174" t="s">
        <v>440</v>
      </c>
      <c r="D77" s="1174"/>
      <c r="E77" s="1174"/>
      <c r="F77" s="1174"/>
      <c r="G77" s="1174" t="s">
        <v>441</v>
      </c>
      <c r="H77" s="1174"/>
      <c r="J77" s="445" t="s">
        <v>46</v>
      </c>
      <c r="K77" s="985"/>
    </row>
    <row r="78" spans="1:14" ht="93.75" customHeight="1" thickBot="1">
      <c r="A78" s="1218"/>
      <c r="B78" s="444" t="s">
        <v>435</v>
      </c>
      <c r="C78" s="1167">
        <v>3</v>
      </c>
      <c r="D78" s="1171"/>
      <c r="E78" s="1171"/>
      <c r="F78" s="1172"/>
      <c r="G78" s="1167">
        <v>4</v>
      </c>
      <c r="H78" s="1168"/>
      <c r="J78" s="280" t="s">
        <v>46</v>
      </c>
    </row>
    <row r="80" spans="1:14" ht="18.75">
      <c r="B80" s="1162" t="s">
        <v>630</v>
      </c>
      <c r="C80" s="1162"/>
      <c r="D80" s="1162"/>
      <c r="E80" s="1162"/>
      <c r="F80" s="1162"/>
      <c r="G80" s="1162"/>
      <c r="H80" s="1162"/>
      <c r="I80" s="1162"/>
      <c r="J80" s="1162"/>
    </row>
    <row r="81" spans="2:12" ht="15.75">
      <c r="B81" s="1163" t="s">
        <v>631</v>
      </c>
      <c r="C81" s="1163"/>
      <c r="D81" s="1163"/>
      <c r="E81" s="1163"/>
      <c r="F81" s="1163"/>
      <c r="G81" s="1163"/>
      <c r="H81" s="1163"/>
      <c r="I81" s="1163"/>
      <c r="J81" s="534" t="s">
        <v>277</v>
      </c>
    </row>
    <row r="82" spans="2:12" ht="15.75">
      <c r="B82" s="1163" t="s">
        <v>632</v>
      </c>
      <c r="C82" s="1163" t="s">
        <v>277</v>
      </c>
      <c r="D82" s="1163"/>
      <c r="E82" s="1163"/>
      <c r="F82" s="1163"/>
      <c r="G82" s="1163"/>
      <c r="H82" s="1163"/>
      <c r="I82" s="1163"/>
      <c r="J82" s="534" t="s">
        <v>277</v>
      </c>
    </row>
    <row r="83" spans="2:12" ht="15.75">
      <c r="B83" s="1163" t="s">
        <v>633</v>
      </c>
      <c r="C83" s="1163" t="s">
        <v>277</v>
      </c>
      <c r="D83" s="1163"/>
      <c r="E83" s="1163"/>
      <c r="F83" s="1163"/>
      <c r="G83" s="1163"/>
      <c r="H83" s="1163"/>
      <c r="I83" s="1163"/>
      <c r="J83" s="534" t="s">
        <v>277</v>
      </c>
    </row>
    <row r="84" spans="2:12" ht="15.75">
      <c r="B84" s="355" t="s">
        <v>634</v>
      </c>
      <c r="C84" s="1216"/>
      <c r="D84" s="1217"/>
      <c r="E84" s="1217"/>
      <c r="F84" s="1217"/>
      <c r="G84" s="1217"/>
      <c r="H84" s="1217"/>
      <c r="I84" s="1217"/>
      <c r="J84" s="1217"/>
    </row>
    <row r="85" spans="2:12">
      <c r="L85" s="280" t="s">
        <v>46</v>
      </c>
    </row>
    <row r="87" spans="2:12" ht="113.25" customHeight="1">
      <c r="B87" s="1164" t="s">
        <v>868</v>
      </c>
      <c r="C87" s="1165"/>
      <c r="D87" s="1166"/>
      <c r="E87" s="1179" t="s">
        <v>867</v>
      </c>
      <c r="F87" s="1184"/>
      <c r="G87" s="1184"/>
      <c r="H87" s="1184"/>
      <c r="I87" s="1184"/>
      <c r="J87" s="1185"/>
    </row>
    <row r="88" spans="2:12" ht="18.75" customHeight="1">
      <c r="J88" s="280" t="s">
        <v>46</v>
      </c>
    </row>
  </sheetData>
  <mergeCells count="85">
    <mergeCell ref="B46:I46"/>
    <mergeCell ref="B28:I28"/>
    <mergeCell ref="A57:A71"/>
    <mergeCell ref="A73:A78"/>
    <mergeCell ref="E48:J48"/>
    <mergeCell ref="A40:A52"/>
    <mergeCell ref="A16:A38"/>
    <mergeCell ref="B54:I54"/>
    <mergeCell ref="E24:J24"/>
    <mergeCell ref="B40:D40"/>
    <mergeCell ref="E41:J41"/>
    <mergeCell ref="E47:J47"/>
    <mergeCell ref="E45:J45"/>
    <mergeCell ref="E60:J60"/>
    <mergeCell ref="B52:D52"/>
    <mergeCell ref="B44:D44"/>
    <mergeCell ref="E44:J44"/>
    <mergeCell ref="B42:D42"/>
    <mergeCell ref="B87:D87"/>
    <mergeCell ref="E87:J87"/>
    <mergeCell ref="F64:H64"/>
    <mergeCell ref="F65:H65"/>
    <mergeCell ref="C67:E67"/>
    <mergeCell ref="F67:G67"/>
    <mergeCell ref="C64:E64"/>
    <mergeCell ref="G76:H76"/>
    <mergeCell ref="G77:H77"/>
    <mergeCell ref="B83:I83"/>
    <mergeCell ref="C84:J84"/>
    <mergeCell ref="B51:D51"/>
    <mergeCell ref="E51:J51"/>
    <mergeCell ref="B50:D50"/>
    <mergeCell ref="I5:J5"/>
    <mergeCell ref="C13:J13"/>
    <mergeCell ref="C63:F63"/>
    <mergeCell ref="C5:F5"/>
    <mergeCell ref="C7:F7"/>
    <mergeCell ref="I8:J8"/>
    <mergeCell ref="I7:J7"/>
    <mergeCell ref="C14:J14"/>
    <mergeCell ref="B62:C62"/>
    <mergeCell ref="B36:D36"/>
    <mergeCell ref="E36:J36"/>
    <mergeCell ref="B29:D29"/>
    <mergeCell ref="C8:F8"/>
    <mergeCell ref="E29:J29"/>
    <mergeCell ref="C9:J9"/>
    <mergeCell ref="E52:J52"/>
    <mergeCell ref="B60:D60"/>
    <mergeCell ref="E49:J49"/>
    <mergeCell ref="E50:J50"/>
    <mergeCell ref="B57:I57"/>
    <mergeCell ref="B58:I58"/>
    <mergeCell ref="B55:I55"/>
    <mergeCell ref="B53:I53"/>
    <mergeCell ref="B59:D59"/>
    <mergeCell ref="E59:J59"/>
    <mergeCell ref="B24:D24"/>
    <mergeCell ref="B25:D25"/>
    <mergeCell ref="B37:D37"/>
    <mergeCell ref="B41:D41"/>
    <mergeCell ref="B49:D49"/>
    <mergeCell ref="B27:I27"/>
    <mergeCell ref="B38:I38"/>
    <mergeCell ref="B26:I26"/>
    <mergeCell ref="B43:I43"/>
    <mergeCell ref="E40:J40"/>
    <mergeCell ref="E42:J42"/>
    <mergeCell ref="B47:D47"/>
    <mergeCell ref="B45:D45"/>
    <mergeCell ref="E37:J37"/>
    <mergeCell ref="C30:F30"/>
    <mergeCell ref="E25:J25"/>
    <mergeCell ref="B80:J80"/>
    <mergeCell ref="B81:I81"/>
    <mergeCell ref="B82:I82"/>
    <mergeCell ref="B73:J73"/>
    <mergeCell ref="G78:H78"/>
    <mergeCell ref="C74:F74"/>
    <mergeCell ref="C76:F76"/>
    <mergeCell ref="C78:F78"/>
    <mergeCell ref="C75:F75"/>
    <mergeCell ref="G75:H75"/>
    <mergeCell ref="C77:F77"/>
    <mergeCell ref="G74:H74"/>
  </mergeCells>
  <conditionalFormatting sqref="H67:J67">
    <cfRule type="cellIs" dxfId="537" priority="10" operator="equal">
      <formula>0</formula>
    </cfRule>
  </conditionalFormatting>
  <conditionalFormatting sqref="K74:K1048576 K2:K12">
    <cfRule type="cellIs" dxfId="536" priority="9" operator="equal">
      <formula>"SI"</formula>
    </cfRule>
  </conditionalFormatting>
  <conditionalFormatting sqref="K13:K14 K64:K71 K73 K59:K60 K16:K56">
    <cfRule type="cellIs" dxfId="535" priority="8" operator="equal">
      <formula>"SI"</formula>
    </cfRule>
  </conditionalFormatting>
  <conditionalFormatting sqref="C10">
    <cfRule type="cellIs" dxfId="534" priority="5" operator="notEqual">
      <formula>$C$9="Programa Startup"</formula>
    </cfRule>
    <cfRule type="expression" dxfId="533" priority="7">
      <formula>"$C$8=""Programa Startup"""</formula>
    </cfRule>
  </conditionalFormatting>
  <conditionalFormatting sqref="K57:K58">
    <cfRule type="cellIs" dxfId="532" priority="6" operator="equal">
      <formula>"SI"</formula>
    </cfRule>
  </conditionalFormatting>
  <conditionalFormatting sqref="I10">
    <cfRule type="cellIs" dxfId="531" priority="1" operator="notEqual">
      <formula>$C$9="Programa Startup"</formula>
    </cfRule>
    <cfRule type="expression" dxfId="530" priority="2">
      <formula>"$C$8=""Programa Startup"""</formula>
    </cfRule>
  </conditionalFormatting>
  <dataValidations xWindow="736" yWindow="566" count="28">
    <dataValidation type="date" operator="greaterThan" allowBlank="1" showInputMessage="1" showErrorMessage="1" sqref="C11" xr:uid="{00000000-0002-0000-0100-000000000000}">
      <formula1>42005</formula1>
    </dataValidation>
    <dataValidation allowBlank="1" showInputMessage="1" showErrorMessage="1" promptTitle="Alianzas y subcontratación" prompt="En esta casilla añadir alianzas  y subcontrataciones de todo tipo: comerciales, productivas y de RRHH" sqref="E37:J37" xr:uid="{00000000-0002-0000-0100-000001000000}"/>
    <dataValidation allowBlank="1" showInputMessage="1" showErrorMessage="1" promptTitle="Mercado potencial" prompt="Cuántas personas o empresas pueden llegar a ser compradores o usuarios del producto o servicio" sqref="B40:D40" xr:uid="{00000000-0002-0000-0100-000003000000}"/>
    <dataValidation type="decimal" operator="notEqual" allowBlank="1" showInputMessage="1" showErrorMessage="1" sqref="C66" xr:uid="{00000000-0002-0000-0100-000004000000}">
      <formula1>-5000</formula1>
    </dataValidation>
    <dataValidation type="decimal" operator="notEqual" allowBlank="1" showInputMessage="1" showErrorMessage="1" sqref="H67:J67" xr:uid="{00000000-0002-0000-0100-000005000000}">
      <formula1>50000</formula1>
    </dataValidation>
    <dataValidation allowBlank="1" showInputMessage="1" showErrorMessage="1" promptTitle="Descripción actividad" prompt="Defina brevemente el producto o servicio que quiere ofrecer, a qué clientes se dirige, qué necesidades quiere  satisfacer y qué ventajas tendrá frente a sus competidores." sqref="C13:J13" xr:uid="{00000000-0002-0000-0100-000006000000}"/>
    <dataValidation allowBlank="1" showInputMessage="1" showErrorMessage="1" promptTitle="Origen del proyecto" prompt="¿Qúe problema soluciona?_x000a_Cómo, cuándo y por qué surgió la idea.¿Porqué cree que es una oportunidad empresarial?" sqref="C14:J14" xr:uid="{00000000-0002-0000-0100-000007000000}"/>
    <dataValidation allowBlank="1" showInputMessage="1" showErrorMessage="1" promptTitle="Vinculación y motivos creación" prompt="Defina la relación existente entre ellos (amistad, laboral, familiar,...) así como las razones por las que cada promotor quiere crear  su propia empresa" sqref="J29 J25 E25:I29" xr:uid="{00000000-0002-0000-0100-000008000000}"/>
    <dataValidation allowBlank="1" showInputMessage="1" showErrorMessage="1" promptTitle="Competencia" prompt=" ¿Quién será su competencia? Analice a su competencia, visitándolos y/o recogiendo información sobre ellos y observando qué aspectos puede mejorar (gama de productos, servicios de valor añadido, precios, horarios, atención al cliente,imagen que transmite)" sqref="E44:J44" xr:uid="{00000000-0002-0000-0100-00000A000000}"/>
    <dataValidation allowBlank="1" showInputMessage="1" showErrorMessage="1" prompt="¿Cómo va a llegar el producto o servicio a sus clientes? Detalle cómo y con qué medios se realizará el proceso  de la venta y entrega." sqref="E49:J49" xr:uid="{00000000-0002-0000-0100-00000B000000}"/>
    <dataValidation allowBlank="1" showInputMessage="1" showErrorMessage="1" prompt="Presupuesto anual en comunicación. _x000a_Detalle las acciones por segmento o target._x000a__x000a__x000a_" sqref="E47:J47" xr:uid="{00000000-0002-0000-0100-00000C000000}"/>
    <dataValidation allowBlank="1" showInputMessage="1" showErrorMessage="1" prompt="Organigrama de la empresa asignando las personas a los distintos departamentos. En caso de necesidades de selección y formación de personal: ¿qué medios utilizará? " sqref="E36:J36" xr:uid="{00000000-0002-0000-0100-00000D000000}"/>
    <dataValidation allowBlank="1" showInputMessage="1" showErrorMessage="1" prompt="¿Qué otras normativas afectan a la actividad de su empresa? ¿Qué medidas se aplicarán para su cumplimiento?" sqref="E60:J60" xr:uid="{00000000-0002-0000-0100-00000E000000}"/>
    <dataValidation allowBlank="1" showInputMessage="1" showErrorMessage="1" prompt="Que oportunidad de negocio hay. Público que tienen o pueden llegar a tener la necesidad de consumir tu servicio o propucto." sqref="E40:J40" xr:uid="{00000000-0002-0000-0100-000010000000}"/>
    <dataValidation allowBlank="1" showInputMessage="1" showErrorMessage="1" prompt="Situación y perspectivas de futuro del sector. _x000a_Busque información del mercado en las fuentes siguientes: Asociaciones, gremios, ferias y revistas del sector_x000a_Especificidades del mercado (estacionalidad de las ventas, reglamentaciones especiales...): _x000a_" sqref="E51:J51" xr:uid="{00000000-0002-0000-0100-000011000000}"/>
    <dataValidation allowBlank="1" showInputMessage="1" showErrorMessage="1" prompt="Factores positivos que se generan en el entorno y quepueden ser aprovechados. Circunstancias que mejoran la situación empresa_x000a_Tendencias del mercado _x000a_Coyuntura economica del país_x000a_Cambios legal y/o políticos_x000a_Patrones sociales estilos de vida_x000a__x000a_" sqref="G78:H78" xr:uid="{00000000-0002-0000-0100-000012000000}"/>
    <dataValidation allowBlank="1" showInputMessage="1" showErrorMessage="1" prompt="Situaciones negativas, externas al proyecto, que pueden atentar contra la empresa._x000a_Obstáculos se enfrenta_x000a_Qué están haciendo los competidores_x000a_Problemas de recursos de capital_x000a_" sqref="G76:H76" xr:uid="{00000000-0002-0000-0100-000013000000}"/>
    <dataValidation allowBlank="1" showInputMessage="1" showErrorMessage="1" prompt="Qué atributos permiten generar una ventaja competitiva sobre el resto de sus competidores._x000a_Por ejemplo: Horario amplio, trato, actitud, locales amplios y cómodos. Variedad de productos. Atención personalizada _x000a_" sqref="C78:F78" xr:uid="{00000000-0002-0000-0100-000014000000}"/>
    <dataValidation allowBlank="1" showInputMessage="1" showErrorMessage="1" prompt="Elementos, recursos de energía, habilidades y actitudes que la empresa tiene y que constituyen barreras para lograr la buena marcha de la organización. Ejemplo: Falta dirección estratégica clara.Incapacidad de financiación.Falta habilidades clave.Costes _x000a_" sqref="C76:F76" xr:uid="{00000000-0002-0000-0100-000015000000}"/>
    <dataValidation type="list" allowBlank="1" showInputMessage="1" showErrorMessage="1" sqref="C82:I83 C26:I28 C53:I55 C43:I43 C58:I58 C46:I46 C38:I38" xr:uid="{00000000-0002-0000-0100-000016000000}">
      <formula1>$A$44:$A$49</formula1>
    </dataValidation>
    <dataValidation type="date" operator="greaterThan" allowBlank="1" showInputMessage="1" showErrorMessage="1" sqref="I11" xr:uid="{00000000-0002-0000-0100-000017000000}">
      <formula1>18264</formula1>
    </dataValidation>
    <dataValidation allowBlank="1" showInputMessage="1" showErrorMessage="1" prompt="Justifica como vas a conseguir la cifra de ventas_x000a__x000a__x000a_" sqref="J55 J53 E53:I55 E48:J48" xr:uid="{480022F7-C354-4E9A-8FE8-9F9FB5D95714}"/>
    <dataValidation allowBlank="1" showInputMessage="1" showErrorMessage="1" promptTitle="Fortalezas y debilidades equipo" prompt="Enumere los puntos fuertes y débiles  de cada uno de los promotores  así como una valoración global del equipo promotor y directivo del proyecto " sqref="E24:J29" xr:uid="{00000000-0002-0000-0100-000009000000}"/>
    <dataValidation allowBlank="1" showInputMessage="1" showErrorMessage="1" promptTitle="Cuota" prompt="Que porcentaje sobre el mercado potencial quieres cubrir. Ventas / Mercado potencial_x000a_" sqref="E41:J41 E43:J43 E46:J46" xr:uid="{00000000-0002-0000-0100-000018000000}"/>
    <dataValidation allowBlank="1" showInputMessage="1" showErrorMessage="1" promptTitle="¿A quién te interesa vender?" prompt="Define claramente a quién quieres vender._x000a_De todo el mercado potencial especifique a qué grupo de clientes con características comunes (sectores de actividad, tamaño, ubicación, etc.) quieres vender. Cuantifique el número de clientes objetivos. " sqref="E42:J43 E46:J46" xr:uid="{00000000-0002-0000-0100-00000F000000}"/>
    <dataValidation allowBlank="1" showInputMessage="1" showErrorMessage="1" promptTitle="Ventaja competitiva" prompt="Que hacemos mejor que la competencia." sqref="E53:J53 E45:J45" xr:uid="{00000000-0002-0000-0100-000002000000}"/>
    <dataValidation allowBlank="1" showInputMessage="1" showErrorMessage="1" prompt="Explica brevemente el proceso desde que un pedido entra hasta que lo cobras." sqref="E51:J51" xr:uid="{00000000-0002-0000-0100-000019000000}"/>
    <dataValidation allowBlank="1" showInputMessage="1" showErrorMessage="1" prompt="Explica brevemente el proceso desde que un pedido entra hasta que lo cobras. _x000a_Grado de automatización del proceso." sqref="E50:J50" xr:uid="{01C32BA8-2621-4B99-B6A6-55B39430BDC5}"/>
  </dataValidations>
  <pageMargins left="0.7" right="0.7" top="0.75" bottom="0.75" header="0.3" footer="0.3"/>
  <pageSetup paperSize="9" scale="62" orientation="portrait" r:id="rId1"/>
  <colBreaks count="1" manualBreakCount="1">
    <brk id="12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xWindow="736" yWindow="566" count="4">
        <x14:dataValidation type="list" allowBlank="1" showInputMessage="1" showErrorMessage="1" xr:uid="{00000000-0002-0000-0100-00001A000000}">
          <x14:formula1>
            <xm:f>DATOS!$B$16:$B$17</xm:f>
          </x14:formula1>
          <xm:sqref>D62 C70 I65 J81:J83 K32:K34 K64:K71 J55:K55 K13:K14 J43 J53:K53 J57:J58 K17:K22 K24:K29 K36:K37 J26:J28 J38 J46 K39:K52 K56:K60 K54</xm:sqref>
        </x14:dataValidation>
        <x14:dataValidation type="list" allowBlank="1" showInputMessage="1" showErrorMessage="1" xr:uid="{00000000-0002-0000-0100-00001B000000}">
          <x14:formula1>
            <xm:f>DATOS!$P$2:$P$3</xm:f>
          </x14:formula1>
          <xm:sqref>C67:E67</xm:sqref>
        </x14:dataValidation>
        <x14:dataValidation type="list" allowBlank="1" showInputMessage="1" showErrorMessage="1" xr:uid="{00000000-0002-0000-0100-00001C000000}">
          <x14:formula1>
            <xm:f>DATOS!$N$2:$N$9</xm:f>
          </x14:formula1>
          <xm:sqref>I5:J5</xm:sqref>
        </x14:dataValidation>
        <x14:dataValidation type="list" allowBlank="1" showInputMessage="1" showErrorMessage="1" xr:uid="{00000000-0002-0000-0100-00001D000000}">
          <x14:formula1>
            <xm:f>DATOS!$T$2:$T$8</xm:f>
          </x14:formula1>
          <xm:sqref>C9:J9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6">
    <tabColor rgb="FFC00000"/>
  </sheetPr>
  <dimension ref="A1:S196"/>
  <sheetViews>
    <sheetView zoomScaleNormal="100" zoomScaleSheetLayoutView="115" workbookViewId="0"/>
  </sheetViews>
  <sheetFormatPr baseColWidth="10" defaultColWidth="11.42578125" defaultRowHeight="18.75"/>
  <cols>
    <col min="1" max="1" width="2.85546875" style="984" customWidth="1"/>
    <col min="2" max="2" width="1" style="858" customWidth="1"/>
    <col min="3" max="3" width="26.7109375" style="908" customWidth="1"/>
    <col min="4" max="4" width="12.7109375" style="908" customWidth="1"/>
    <col min="5" max="5" width="11.7109375" style="908" customWidth="1"/>
    <col min="6" max="6" width="10.140625" style="908" customWidth="1"/>
    <col min="7" max="7" width="10.7109375" style="908" customWidth="1"/>
    <col min="8" max="8" width="13.140625" style="908" customWidth="1"/>
    <col min="9" max="9" width="12.28515625" style="908" customWidth="1"/>
    <col min="10" max="10" width="10.7109375" style="908" customWidth="1"/>
    <col min="11" max="11" width="16.85546875" style="908" customWidth="1"/>
    <col min="12" max="12" width="3" style="168" customWidth="1"/>
    <col min="13" max="13" width="2" style="117" customWidth="1"/>
    <col min="14" max="14" width="9.5703125" style="117" customWidth="1"/>
    <col min="15" max="16384" width="11.42578125" style="117"/>
  </cols>
  <sheetData>
    <row r="1" spans="1:12" s="168" customFormat="1" ht="30" customHeight="1">
      <c r="A1" s="984"/>
      <c r="B1" s="858"/>
      <c r="C1" s="1293">
        <f>+Cuestionario!C5</f>
        <v>0</v>
      </c>
      <c r="D1" s="1294"/>
      <c r="E1" s="1294"/>
      <c r="F1" s="1294"/>
      <c r="G1" s="1294"/>
      <c r="H1" s="1292" t="s">
        <v>252</v>
      </c>
      <c r="I1" s="1292"/>
      <c r="J1" s="911" t="str">
        <f>+Cuestionario!I5</f>
        <v>S.L.</v>
      </c>
      <c r="K1" s="852"/>
      <c r="L1" s="369"/>
    </row>
    <row r="2" spans="1:12" s="168" customFormat="1" ht="18.75" customHeight="1">
      <c r="A2" s="984"/>
      <c r="B2" s="858"/>
      <c r="C2" s="1294"/>
      <c r="D2" s="1294"/>
      <c r="E2" s="1294"/>
      <c r="F2" s="1294"/>
      <c r="G2" s="1294"/>
      <c r="H2" s="1292" t="s">
        <v>349</v>
      </c>
      <c r="I2" s="1292"/>
      <c r="J2" s="912">
        <f>+Cuestionario!I11</f>
        <v>0</v>
      </c>
      <c r="K2" s="863"/>
    </row>
    <row r="3" spans="1:12" s="168" customFormat="1" ht="18.75" customHeight="1">
      <c r="A3" s="984"/>
      <c r="B3" s="858"/>
      <c r="C3" s="862" t="s">
        <v>670</v>
      </c>
      <c r="D3" s="1291" t="str">
        <f>+Cuestionario!C9</f>
        <v>Renovación ubicación</v>
      </c>
      <c r="E3" s="1291"/>
      <c r="F3" s="909"/>
      <c r="G3" s="909"/>
      <c r="H3" s="1292" t="s">
        <v>361</v>
      </c>
      <c r="I3" s="1292"/>
      <c r="J3" s="913">
        <f>+Cuestionario!C11</f>
        <v>44197</v>
      </c>
      <c r="K3" s="909"/>
    </row>
    <row r="4" spans="1:12" s="168" customFormat="1" ht="7.5" customHeight="1">
      <c r="A4" s="984"/>
      <c r="B4" s="858"/>
      <c r="C4" s="861"/>
      <c r="D4" s="861"/>
      <c r="E4" s="853"/>
      <c r="F4" s="853"/>
      <c r="G4" s="853"/>
      <c r="H4" s="861"/>
      <c r="I4" s="861"/>
      <c r="J4" s="861"/>
      <c r="K4" s="861"/>
    </row>
    <row r="5" spans="1:12" s="861" customFormat="1">
      <c r="A5" s="1297" t="s">
        <v>350</v>
      </c>
      <c r="B5" s="1297"/>
      <c r="C5" s="1297"/>
      <c r="D5" s="1297"/>
      <c r="E5" s="1297"/>
      <c r="F5" s="1297"/>
      <c r="G5" s="1297"/>
      <c r="H5" s="1297"/>
      <c r="I5" s="1297"/>
      <c r="J5" s="1297"/>
      <c r="K5" s="1297"/>
    </row>
    <row r="6" spans="1:12" s="168" customFormat="1" ht="51.75" customHeight="1">
      <c r="A6" s="1274">
        <f>+Cuestionario!C13</f>
        <v>0</v>
      </c>
      <c r="B6" s="1275"/>
      <c r="C6" s="1275"/>
      <c r="D6" s="1275"/>
      <c r="E6" s="1275"/>
      <c r="F6" s="1275"/>
      <c r="G6" s="1275"/>
      <c r="H6" s="1275"/>
      <c r="I6" s="1275"/>
      <c r="J6" s="1275"/>
      <c r="K6" s="1276"/>
    </row>
    <row r="7" spans="1:12" s="168" customFormat="1">
      <c r="A7" s="1297" t="s">
        <v>898</v>
      </c>
      <c r="B7" s="1297"/>
      <c r="C7" s="1297"/>
      <c r="D7" s="1297"/>
      <c r="E7" s="1297"/>
      <c r="F7" s="1297"/>
      <c r="G7" s="1297"/>
      <c r="H7" s="1297"/>
      <c r="I7" s="1297"/>
      <c r="J7" s="1297"/>
      <c r="K7" s="1297"/>
    </row>
    <row r="8" spans="1:12" s="168" customFormat="1" ht="54.75" customHeight="1">
      <c r="A8" s="1298">
        <f>+Cuestionario!C14</f>
        <v>0</v>
      </c>
      <c r="B8" s="1299"/>
      <c r="C8" s="1299"/>
      <c r="D8" s="1299"/>
      <c r="E8" s="1299"/>
      <c r="F8" s="1299"/>
      <c r="G8" s="1299"/>
      <c r="H8" s="1299"/>
      <c r="I8" s="1299"/>
      <c r="J8" s="1299"/>
      <c r="K8" s="1300"/>
    </row>
    <row r="9" spans="1:12" s="168" customFormat="1" ht="9" customHeight="1">
      <c r="A9" s="984"/>
      <c r="B9" s="858"/>
      <c r="C9" s="861"/>
      <c r="D9" s="861"/>
      <c r="E9" s="861"/>
      <c r="F9" s="861"/>
      <c r="G9" s="861"/>
      <c r="H9" s="861"/>
      <c r="I9" s="861"/>
      <c r="J9" s="861"/>
      <c r="K9" s="863"/>
    </row>
    <row r="10" spans="1:12" s="168" customFormat="1" ht="36" customHeight="1">
      <c r="A10" s="1277" t="s">
        <v>900</v>
      </c>
      <c r="B10" s="982"/>
      <c r="C10" s="953" t="s">
        <v>254</v>
      </c>
      <c r="D10" s="954" t="s">
        <v>351</v>
      </c>
      <c r="E10" s="954" t="s">
        <v>362</v>
      </c>
      <c r="F10" s="954" t="s">
        <v>257</v>
      </c>
      <c r="G10" s="954" t="str">
        <f>+Cuestionario!F16</f>
        <v>Fecha nacimiento</v>
      </c>
      <c r="H10" s="954" t="s">
        <v>259</v>
      </c>
      <c r="I10" s="954" t="s">
        <v>260</v>
      </c>
      <c r="J10" s="954" t="s">
        <v>261</v>
      </c>
      <c r="K10" s="954" t="s">
        <v>262</v>
      </c>
    </row>
    <row r="11" spans="1:12" s="168" customFormat="1" ht="21" customHeight="1">
      <c r="A11" s="1277"/>
      <c r="B11" s="982"/>
      <c r="C11" s="955">
        <f>+Cuestionario!B17</f>
        <v>0</v>
      </c>
      <c r="D11" s="965">
        <f>+Cuestionario!C17</f>
        <v>0</v>
      </c>
      <c r="E11" s="956">
        <f>+Cuestionario!D17</f>
        <v>0</v>
      </c>
      <c r="F11" s="968" t="str">
        <f>IF(+Cuestionario!E17=0,"",+Cuestionario!E17)</f>
        <v/>
      </c>
      <c r="G11" s="957">
        <f>+Cuestionario!F17</f>
        <v>0</v>
      </c>
      <c r="H11" s="971">
        <f>+Cuestionario!G17</f>
        <v>0</v>
      </c>
      <c r="I11" s="956">
        <f>+Cuestionario!H17</f>
        <v>0</v>
      </c>
      <c r="J11" s="965">
        <f>+Cuestionario!I17</f>
        <v>0</v>
      </c>
      <c r="K11" s="958">
        <f>+Cuestionario!J17</f>
        <v>0</v>
      </c>
    </row>
    <row r="12" spans="1:12" s="168" customFormat="1" ht="20.25" customHeight="1">
      <c r="A12" s="1277"/>
      <c r="B12" s="982"/>
      <c r="C12" s="959">
        <f>+Cuestionario!B18</f>
        <v>0</v>
      </c>
      <c r="D12" s="966">
        <f>+Cuestionario!C18</f>
        <v>0</v>
      </c>
      <c r="E12" s="854">
        <f>+Cuestionario!D18</f>
        <v>0</v>
      </c>
      <c r="F12" s="969" t="str">
        <f>IF(+Cuestionario!E18=0,"",+Cuestionario!E18)</f>
        <v/>
      </c>
      <c r="G12" s="855">
        <f>+Cuestionario!F18</f>
        <v>0</v>
      </c>
      <c r="H12" s="966">
        <f>+Cuestionario!G18</f>
        <v>0</v>
      </c>
      <c r="I12" s="854">
        <f>+Cuestionario!H18</f>
        <v>0</v>
      </c>
      <c r="J12" s="966">
        <f>+Cuestionario!I18</f>
        <v>0</v>
      </c>
      <c r="K12" s="960">
        <f>+Cuestionario!J18</f>
        <v>0</v>
      </c>
    </row>
    <row r="13" spans="1:12" s="168" customFormat="1" ht="20.25" customHeight="1">
      <c r="A13" s="1277"/>
      <c r="B13" s="982"/>
      <c r="C13" s="959">
        <f>+Cuestionario!B19</f>
        <v>0</v>
      </c>
      <c r="D13" s="966">
        <f>+Cuestionario!C19</f>
        <v>0</v>
      </c>
      <c r="E13" s="854">
        <f>+Cuestionario!D19</f>
        <v>0</v>
      </c>
      <c r="F13" s="969" t="str">
        <f>IF(+Cuestionario!E19=0,"",+Cuestionario!E19)</f>
        <v/>
      </c>
      <c r="G13" s="855">
        <f>+Cuestionario!F19</f>
        <v>0</v>
      </c>
      <c r="H13" s="966">
        <f>+Cuestionario!G19</f>
        <v>0</v>
      </c>
      <c r="I13" s="854">
        <f>+Cuestionario!H19</f>
        <v>0</v>
      </c>
      <c r="J13" s="966">
        <f>+Cuestionario!I19</f>
        <v>0</v>
      </c>
      <c r="K13" s="960">
        <f>+Cuestionario!J19</f>
        <v>0</v>
      </c>
    </row>
    <row r="14" spans="1:12" s="168" customFormat="1" ht="20.25" customHeight="1">
      <c r="A14" s="1277"/>
      <c r="B14" s="982"/>
      <c r="C14" s="961">
        <f>+Cuestionario!B20</f>
        <v>0</v>
      </c>
      <c r="D14" s="967">
        <f>+Cuestionario!C20</f>
        <v>0</v>
      </c>
      <c r="E14" s="962">
        <f>+Cuestionario!D20</f>
        <v>0</v>
      </c>
      <c r="F14" s="970" t="str">
        <f>IF(+Cuestionario!E20=0,"",+Cuestionario!E20)</f>
        <v/>
      </c>
      <c r="G14" s="963">
        <f>+Cuestionario!F20</f>
        <v>0</v>
      </c>
      <c r="H14" s="967">
        <f>+Cuestionario!G20</f>
        <v>0</v>
      </c>
      <c r="I14" s="962">
        <f>+Cuestionario!H20</f>
        <v>0</v>
      </c>
      <c r="J14" s="967">
        <f>+Cuestionario!I20</f>
        <v>0</v>
      </c>
      <c r="K14" s="964">
        <f>+Cuestionario!J20</f>
        <v>0</v>
      </c>
    </row>
    <row r="15" spans="1:12" s="168" customFormat="1" ht="7.5" customHeight="1">
      <c r="A15" s="1277"/>
      <c r="B15" s="982"/>
      <c r="C15" s="856"/>
      <c r="D15" s="854"/>
      <c r="E15" s="854"/>
      <c r="F15" s="857"/>
      <c r="G15" s="854"/>
      <c r="H15" s="854"/>
      <c r="I15" s="854"/>
      <c r="J15" s="854"/>
      <c r="K15" s="854"/>
    </row>
    <row r="16" spans="1:12" s="168" customFormat="1" ht="18" customHeight="1">
      <c r="A16" s="1277"/>
      <c r="B16" s="982"/>
      <c r="C16" s="1288" t="s">
        <v>272</v>
      </c>
      <c r="D16" s="1288"/>
      <c r="E16" s="1290">
        <f>+Cuestionario!E25</f>
        <v>0</v>
      </c>
      <c r="F16" s="1290"/>
      <c r="G16" s="1290"/>
      <c r="H16" s="1290"/>
      <c r="I16" s="1290"/>
      <c r="J16" s="1290"/>
      <c r="K16" s="1290"/>
    </row>
    <row r="17" spans="1:19" s="168" customFormat="1" ht="10.5" customHeight="1">
      <c r="A17" s="1277"/>
      <c r="B17" s="982"/>
      <c r="C17" s="861"/>
      <c r="D17" s="861"/>
      <c r="E17" s="861"/>
      <c r="F17" s="861"/>
      <c r="G17" s="861"/>
      <c r="H17" s="861"/>
      <c r="I17" s="861"/>
      <c r="J17" s="861"/>
      <c r="K17" s="861"/>
    </row>
    <row r="18" spans="1:19" s="168" customFormat="1" ht="30.75">
      <c r="A18" s="1277"/>
      <c r="B18" s="982"/>
      <c r="C18" s="1288" t="s">
        <v>263</v>
      </c>
      <c r="D18" s="1288"/>
      <c r="E18" s="937" t="s">
        <v>264</v>
      </c>
      <c r="F18" s="937" t="s">
        <v>266</v>
      </c>
      <c r="G18" s="937" t="str">
        <f>+Cuestionario!F31</f>
        <v>TOTAL inicial</v>
      </c>
      <c r="H18" s="937" t="str">
        <f>+Cuestionario!G31</f>
        <v>Total prev.2021</v>
      </c>
      <c r="I18" s="937" t="str">
        <f>+Cuestionario!H31</f>
        <v>Total prev.2022</v>
      </c>
      <c r="J18" s="937" t="str">
        <f>+Cuestionario!I31</f>
        <v>Total prev. 2023</v>
      </c>
    </row>
    <row r="19" spans="1:19">
      <c r="A19" s="1277"/>
      <c r="B19" s="982"/>
      <c r="C19" s="1296" t="s">
        <v>268</v>
      </c>
      <c r="D19" s="1296"/>
      <c r="E19" s="939">
        <f>+Cuestionario!C32</f>
        <v>0</v>
      </c>
      <c r="F19" s="950">
        <f>+Cuestionario!D32+Cuestionario!E32</f>
        <v>0</v>
      </c>
      <c r="G19" s="940">
        <f>+Cuestionario!F32</f>
        <v>0</v>
      </c>
      <c r="H19" s="950">
        <f>+Cuestionario!G32</f>
        <v>0</v>
      </c>
      <c r="I19" s="941">
        <f>+Cuestionario!H32</f>
        <v>0</v>
      </c>
      <c r="J19" s="947">
        <f>+Cuestionario!I32</f>
        <v>0</v>
      </c>
      <c r="K19" s="168"/>
      <c r="M19" s="168"/>
      <c r="N19" s="168"/>
      <c r="O19" s="168"/>
      <c r="P19" s="168"/>
      <c r="Q19" s="168"/>
      <c r="R19" s="168"/>
      <c r="S19" s="168"/>
    </row>
    <row r="20" spans="1:19">
      <c r="A20" s="1277"/>
      <c r="B20" s="982"/>
      <c r="C20" s="1288" t="s">
        <v>269</v>
      </c>
      <c r="D20" s="1288"/>
      <c r="E20" s="942">
        <f>+Cuestionario!C33</f>
        <v>0</v>
      </c>
      <c r="F20" s="951">
        <f>+Cuestionario!D33+Cuestionario!E33</f>
        <v>0</v>
      </c>
      <c r="G20" s="938">
        <f>+Cuestionario!F33</f>
        <v>0</v>
      </c>
      <c r="H20" s="951">
        <f>+Cuestionario!G33</f>
        <v>0</v>
      </c>
      <c r="I20" s="943">
        <f>+Cuestionario!H33</f>
        <v>0</v>
      </c>
      <c r="J20" s="948">
        <f>+Cuestionario!I33</f>
        <v>0</v>
      </c>
      <c r="K20" s="222"/>
      <c r="M20" s="168"/>
      <c r="N20" s="168"/>
      <c r="O20" s="168" t="s">
        <v>46</v>
      </c>
      <c r="P20" s="168"/>
      <c r="Q20" s="168"/>
      <c r="R20" s="168"/>
      <c r="S20" s="168"/>
    </row>
    <row r="21" spans="1:19">
      <c r="A21" s="1277"/>
      <c r="B21" s="982"/>
      <c r="C21" s="1288" t="s">
        <v>896</v>
      </c>
      <c r="D21" s="1288"/>
      <c r="E21" s="944">
        <f>+Cuestionario!C34</f>
        <v>0</v>
      </c>
      <c r="F21" s="952">
        <f>+Cuestionario!D34+Cuestionario!E34</f>
        <v>0</v>
      </c>
      <c r="G21" s="945">
        <f>+Cuestionario!F34</f>
        <v>0</v>
      </c>
      <c r="H21" s="952">
        <f>+Cuestionario!G34</f>
        <v>0</v>
      </c>
      <c r="I21" s="946">
        <f>+Cuestionario!H34</f>
        <v>0</v>
      </c>
      <c r="J21" s="949">
        <f>+Cuestionario!I34</f>
        <v>0</v>
      </c>
      <c r="K21" s="222"/>
      <c r="M21" s="168"/>
      <c r="N21" s="168"/>
      <c r="O21" s="168"/>
      <c r="P21" s="168"/>
      <c r="Q21" s="168"/>
      <c r="R21" s="168"/>
      <c r="S21" s="168"/>
    </row>
    <row r="22" spans="1:19">
      <c r="A22" s="1277"/>
      <c r="B22" s="982"/>
      <c r="C22" s="978" t="s">
        <v>267</v>
      </c>
      <c r="D22" s="977"/>
      <c r="E22" s="979">
        <f>+Cuestionario!C35</f>
        <v>0</v>
      </c>
      <c r="F22" s="980">
        <f>+Cuestionario!D35+Cuestionario!E35</f>
        <v>0</v>
      </c>
      <c r="G22" s="981">
        <f>+Cuestionario!F35</f>
        <v>0</v>
      </c>
      <c r="H22" s="980">
        <f>+Cuestionario!G35</f>
        <v>0</v>
      </c>
      <c r="I22" s="981">
        <f>+Cuestionario!H35</f>
        <v>0</v>
      </c>
      <c r="J22" s="895">
        <f>+Cuestionario!I35</f>
        <v>0</v>
      </c>
      <c r="K22" s="222"/>
      <c r="M22" s="168"/>
      <c r="N22" s="168"/>
      <c r="O22" s="168"/>
      <c r="P22" s="168"/>
      <c r="Q22" s="168"/>
      <c r="R22" s="168"/>
      <c r="S22" s="168"/>
    </row>
    <row r="23" spans="1:19" ht="11.25" customHeight="1">
      <c r="A23" s="1277"/>
      <c r="B23" s="982"/>
      <c r="C23" s="223"/>
      <c r="D23" s="224"/>
      <c r="E23" s="222"/>
      <c r="F23" s="222"/>
      <c r="G23" s="222"/>
      <c r="H23" s="222"/>
      <c r="I23" s="222"/>
      <c r="J23" s="222"/>
      <c r="K23" s="222"/>
      <c r="M23" s="168"/>
      <c r="N23" s="168"/>
      <c r="O23" s="168"/>
      <c r="P23" s="168"/>
      <c r="Q23" s="168"/>
      <c r="R23" s="168"/>
      <c r="S23" s="168"/>
    </row>
    <row r="24" spans="1:19">
      <c r="A24" s="1277"/>
      <c r="B24" s="982"/>
      <c r="C24" s="1288" t="s">
        <v>332</v>
      </c>
      <c r="D24" s="1288"/>
      <c r="E24" s="1290">
        <f>+Cuestionario!E37</f>
        <v>0</v>
      </c>
      <c r="F24" s="1290"/>
      <c r="G24" s="1290"/>
      <c r="H24" s="1290"/>
      <c r="I24" s="1290"/>
      <c r="J24" s="1290"/>
      <c r="K24" s="1290"/>
    </row>
    <row r="25" spans="1:19" ht="11.25" customHeight="1">
      <c r="C25" s="223"/>
      <c r="D25" s="224"/>
      <c r="E25" s="368"/>
      <c r="F25" s="368"/>
      <c r="G25" s="368"/>
      <c r="H25" s="368"/>
      <c r="I25" s="368"/>
      <c r="J25" s="368"/>
      <c r="K25" s="368"/>
    </row>
    <row r="26" spans="1:19" ht="32.25" customHeight="1">
      <c r="A26" s="1278" t="s">
        <v>901</v>
      </c>
      <c r="B26" s="983"/>
      <c r="C26" s="1288" t="s">
        <v>333</v>
      </c>
      <c r="D26" s="1288"/>
      <c r="E26" s="1289">
        <f>+Cuestionario!E40</f>
        <v>0</v>
      </c>
      <c r="F26" s="1289"/>
      <c r="G26" s="1289"/>
      <c r="H26" s="1289"/>
      <c r="I26" s="1289"/>
      <c r="J26" s="1289"/>
      <c r="K26" s="1289"/>
      <c r="S26" s="796"/>
    </row>
    <row r="27" spans="1:19" ht="32.25" customHeight="1">
      <c r="A27" s="1278"/>
      <c r="B27" s="983"/>
      <c r="C27" s="1288" t="s">
        <v>334</v>
      </c>
      <c r="D27" s="1288"/>
      <c r="E27" s="1290">
        <f>+Cuestionario!E41</f>
        <v>0</v>
      </c>
      <c r="F27" s="1290"/>
      <c r="G27" s="1290"/>
      <c r="H27" s="1290"/>
      <c r="I27" s="1290"/>
      <c r="J27" s="1290"/>
      <c r="K27" s="1290"/>
    </row>
    <row r="28" spans="1:19" ht="32.25" customHeight="1">
      <c r="A28" s="1278"/>
      <c r="B28" s="983"/>
      <c r="C28" s="1288" t="s">
        <v>273</v>
      </c>
      <c r="D28" s="1288"/>
      <c r="E28" s="1289">
        <f>+Cuestionario!E42</f>
        <v>0</v>
      </c>
      <c r="F28" s="1289"/>
      <c r="G28" s="1289"/>
      <c r="H28" s="1289"/>
      <c r="I28" s="1289"/>
      <c r="J28" s="1289"/>
      <c r="K28" s="1289"/>
    </row>
    <row r="29" spans="1:19" ht="32.25" customHeight="1">
      <c r="A29" s="1278"/>
      <c r="B29" s="983"/>
      <c r="C29" s="1288" t="s">
        <v>340</v>
      </c>
      <c r="D29" s="1288"/>
      <c r="E29" s="1289">
        <f>+Cuestionario!E44</f>
        <v>0</v>
      </c>
      <c r="F29" s="1289"/>
      <c r="G29" s="1289"/>
      <c r="H29" s="1289"/>
      <c r="I29" s="1289"/>
      <c r="J29" s="1289"/>
      <c r="K29" s="1289"/>
    </row>
    <row r="30" spans="1:19" ht="32.25" customHeight="1">
      <c r="A30" s="1278"/>
      <c r="B30" s="983"/>
      <c r="C30" s="1288" t="s">
        <v>360</v>
      </c>
      <c r="D30" s="1288"/>
      <c r="E30" s="1289">
        <f>+Cuestionario!E45</f>
        <v>0</v>
      </c>
      <c r="F30" s="1289"/>
      <c r="G30" s="1289"/>
      <c r="H30" s="1289"/>
      <c r="I30" s="1289"/>
      <c r="J30" s="1289"/>
      <c r="K30" s="1289"/>
    </row>
    <row r="31" spans="1:19" ht="32.25" customHeight="1">
      <c r="A31" s="1278"/>
      <c r="B31" s="983"/>
      <c r="C31" s="1288" t="s">
        <v>274</v>
      </c>
      <c r="D31" s="1288"/>
      <c r="E31" s="1289">
        <f>+Cuestionario!E47</f>
        <v>0</v>
      </c>
      <c r="F31" s="1289"/>
      <c r="G31" s="1289"/>
      <c r="H31" s="1289"/>
      <c r="I31" s="1289"/>
      <c r="J31" s="1289"/>
      <c r="K31" s="1289"/>
    </row>
    <row r="32" spans="1:19" ht="32.25" customHeight="1">
      <c r="A32" s="1278"/>
      <c r="B32" s="983"/>
      <c r="C32" s="1288" t="s">
        <v>352</v>
      </c>
      <c r="D32" s="1288"/>
      <c r="E32" s="1295">
        <f>Ventas!C61</f>
        <v>0</v>
      </c>
      <c r="F32" s="1295"/>
      <c r="G32" s="1295"/>
      <c r="H32" s="1295"/>
      <c r="I32" s="1295"/>
      <c r="J32" s="1295"/>
      <c r="K32" s="1295"/>
    </row>
    <row r="33" spans="1:15" ht="32.25" customHeight="1">
      <c r="A33" s="1278"/>
      <c r="B33" s="983"/>
      <c r="C33" s="1288" t="s">
        <v>275</v>
      </c>
      <c r="D33" s="1288"/>
      <c r="E33" s="1289">
        <f>+Cuestionario!E49</f>
        <v>0</v>
      </c>
      <c r="F33" s="1289"/>
      <c r="G33" s="1289"/>
      <c r="H33" s="1289"/>
      <c r="I33" s="1289"/>
      <c r="J33" s="1289"/>
      <c r="K33" s="1289"/>
    </row>
    <row r="34" spans="1:15" ht="32.25" customHeight="1">
      <c r="A34" s="1278"/>
      <c r="B34" s="983"/>
      <c r="C34" s="1288" t="s">
        <v>319</v>
      </c>
      <c r="D34" s="1288"/>
      <c r="E34" s="1289">
        <f>+Cuestionario!E50</f>
        <v>0</v>
      </c>
      <c r="F34" s="1289"/>
      <c r="G34" s="1289"/>
      <c r="H34" s="1289"/>
      <c r="I34" s="1289"/>
      <c r="J34" s="1289"/>
      <c r="K34" s="1289"/>
    </row>
    <row r="35" spans="1:15" ht="32.25" customHeight="1">
      <c r="A35" s="1278"/>
      <c r="B35" s="983"/>
      <c r="C35" s="1288" t="s">
        <v>320</v>
      </c>
      <c r="D35" s="1288"/>
      <c r="E35" s="1289">
        <f>+Cuestionario!E60</f>
        <v>0</v>
      </c>
      <c r="F35" s="1289"/>
      <c r="G35" s="1289"/>
      <c r="H35" s="1289"/>
      <c r="I35" s="1289"/>
      <c r="J35" s="1289"/>
      <c r="K35" s="1289"/>
    </row>
    <row r="36" spans="1:15" ht="32.25" customHeight="1">
      <c r="A36" s="1278"/>
      <c r="B36" s="983"/>
      <c r="C36" s="1288" t="str">
        <f>+Cuestionario!B52</f>
        <v>Países donde exporta producto / servicio</v>
      </c>
      <c r="D36" s="1288"/>
      <c r="E36" s="1289">
        <f>+Cuestionario!E60</f>
        <v>0</v>
      </c>
      <c r="F36" s="1289"/>
      <c r="G36" s="1289"/>
      <c r="H36" s="1289"/>
      <c r="I36" s="1289"/>
      <c r="J36" s="1289"/>
      <c r="K36" s="1289"/>
    </row>
    <row r="37" spans="1:15" ht="32.25" customHeight="1">
      <c r="A37" s="1278"/>
      <c r="B37" s="983"/>
      <c r="C37" s="1288" t="s">
        <v>276</v>
      </c>
      <c r="D37" s="1288"/>
      <c r="E37" s="1289">
        <f>+Cuestionario!E51</f>
        <v>0</v>
      </c>
      <c r="F37" s="1289"/>
      <c r="G37" s="1289"/>
      <c r="H37" s="1289"/>
      <c r="I37" s="1289"/>
      <c r="J37" s="1289"/>
      <c r="K37" s="1289"/>
    </row>
    <row r="38" spans="1:15" ht="11.25" customHeight="1">
      <c r="C38" s="223"/>
      <c r="D38" s="224"/>
      <c r="E38" s="222"/>
      <c r="F38" s="222"/>
      <c r="G38" s="222"/>
      <c r="H38" s="222"/>
      <c r="I38" s="222"/>
      <c r="J38" s="222"/>
      <c r="K38" s="222"/>
    </row>
    <row r="39" spans="1:15">
      <c r="A39" s="1277" t="s">
        <v>819</v>
      </c>
      <c r="B39" s="982"/>
      <c r="C39" s="1318" t="s">
        <v>365</v>
      </c>
      <c r="D39" s="1318"/>
      <c r="E39" s="864">
        <f>+Resultados!C2</f>
        <v>2021</v>
      </c>
      <c r="F39" s="863"/>
      <c r="G39" s="864">
        <f>+Resultados!E2</f>
        <v>2022</v>
      </c>
      <c r="H39" s="863"/>
      <c r="I39" s="864">
        <f>+Resultados!G2</f>
        <v>2023</v>
      </c>
      <c r="J39" s="863"/>
      <c r="K39" s="222"/>
    </row>
    <row r="40" spans="1:15" ht="5.25" customHeight="1">
      <c r="A40" s="1277"/>
      <c r="B40" s="982"/>
      <c r="C40" s="865"/>
      <c r="D40" s="861"/>
      <c r="E40" s="861"/>
      <c r="F40" s="861"/>
      <c r="G40" s="861"/>
      <c r="H40" s="861"/>
      <c r="I40" s="861"/>
      <c r="J40" s="866"/>
      <c r="K40" s="222"/>
    </row>
    <row r="41" spans="1:15">
      <c r="A41" s="1277"/>
      <c r="B41" s="982"/>
      <c r="C41" s="867" t="str">
        <f>+Resultados!B4</f>
        <v>Ventas</v>
      </c>
      <c r="D41" s="861"/>
      <c r="E41" s="868">
        <f>+Resultados!C4</f>
        <v>0</v>
      </c>
      <c r="F41" s="869" t="str">
        <f>+Resultados!D4</f>
        <v/>
      </c>
      <c r="G41" s="868">
        <f>+Resultados!E4</f>
        <v>0</v>
      </c>
      <c r="H41" s="869" t="str">
        <f>+Resultados!F4</f>
        <v/>
      </c>
      <c r="I41" s="868">
        <f>+Resultados!G4</f>
        <v>0</v>
      </c>
      <c r="J41" s="869" t="str">
        <f>+Resultados!H4</f>
        <v/>
      </c>
      <c r="K41" s="222"/>
      <c r="O41" s="117" t="s">
        <v>46</v>
      </c>
    </row>
    <row r="42" spans="1:15">
      <c r="A42" s="1277"/>
      <c r="B42" s="982"/>
      <c r="C42" s="867" t="str">
        <f>+Resultados!B5</f>
        <v>Coste de compra sin IVA</v>
      </c>
      <c r="D42" s="861"/>
      <c r="E42" s="868">
        <f>+Resultados!C5</f>
        <v>0</v>
      </c>
      <c r="F42" s="869" t="str">
        <f>+Resultados!D5</f>
        <v/>
      </c>
      <c r="G42" s="868">
        <f>+Resultados!E5</f>
        <v>0</v>
      </c>
      <c r="H42" s="869" t="str">
        <f>+Resultados!F5</f>
        <v/>
      </c>
      <c r="I42" s="868">
        <f>+Resultados!G5</f>
        <v>0</v>
      </c>
      <c r="J42" s="869" t="str">
        <f>+Resultados!H5</f>
        <v/>
      </c>
      <c r="K42" s="222"/>
    </row>
    <row r="43" spans="1:15">
      <c r="A43" s="1277"/>
      <c r="B43" s="982"/>
      <c r="C43" s="867" t="str">
        <f>+Resultados!B6</f>
        <v>Otros costes variables</v>
      </c>
      <c r="D43" s="861"/>
      <c r="E43" s="868">
        <f>+Resultados!C6</f>
        <v>0</v>
      </c>
      <c r="F43" s="869" t="str">
        <f>+Resultados!D6</f>
        <v/>
      </c>
      <c r="G43" s="868">
        <f>+Resultados!E6</f>
        <v>0</v>
      </c>
      <c r="H43" s="869" t="str">
        <f>+Resultados!F6</f>
        <v/>
      </c>
      <c r="I43" s="868">
        <f>+Resultados!G6</f>
        <v>0</v>
      </c>
      <c r="J43" s="869" t="str">
        <f>+Resultados!H6</f>
        <v/>
      </c>
      <c r="K43" s="222"/>
    </row>
    <row r="44" spans="1:15" ht="4.5" customHeight="1">
      <c r="A44" s="1277"/>
      <c r="B44" s="982"/>
      <c r="C44" s="870"/>
      <c r="D44" s="861"/>
      <c r="E44" s="871"/>
      <c r="F44" s="872"/>
      <c r="G44" s="871"/>
      <c r="H44" s="872"/>
      <c r="I44" s="871"/>
      <c r="J44" s="866"/>
      <c r="K44" s="222"/>
    </row>
    <row r="45" spans="1:15">
      <c r="A45" s="1277"/>
      <c r="B45" s="982"/>
      <c r="C45" s="873" t="str">
        <f>+Resultados!B8</f>
        <v>Margen bruto</v>
      </c>
      <c r="D45" s="861"/>
      <c r="E45" s="874">
        <f>+Resultados!C8</f>
        <v>0</v>
      </c>
      <c r="F45" s="875" t="str">
        <f>+Resultados!D8</f>
        <v/>
      </c>
      <c r="G45" s="874">
        <f>+Resultados!E8</f>
        <v>0</v>
      </c>
      <c r="H45" s="875" t="str">
        <f>+Resultados!F8</f>
        <v/>
      </c>
      <c r="I45" s="874">
        <f>+Resultados!G8</f>
        <v>0</v>
      </c>
      <c r="J45" s="875" t="str">
        <f>+Resultados!H8</f>
        <v/>
      </c>
      <c r="K45" s="222"/>
    </row>
    <row r="46" spans="1:15" ht="6.75" customHeight="1">
      <c r="A46" s="1277"/>
      <c r="B46" s="982"/>
      <c r="C46" s="876"/>
      <c r="D46" s="861"/>
      <c r="E46" s="871"/>
      <c r="F46" s="871"/>
      <c r="G46" s="871"/>
      <c r="H46" s="871"/>
      <c r="I46" s="871"/>
      <c r="J46" s="871"/>
      <c r="K46" s="222"/>
    </row>
    <row r="47" spans="1:15">
      <c r="A47" s="1277"/>
      <c r="B47" s="982"/>
      <c r="C47" s="877" t="str">
        <f>+Resultados!B10</f>
        <v>Sueldos y salarios</v>
      </c>
      <c r="D47" s="861"/>
      <c r="E47" s="868">
        <f>+Resultados!C10</f>
        <v>0</v>
      </c>
      <c r="F47" s="869" t="str">
        <f>+Resultados!D10</f>
        <v/>
      </c>
      <c r="G47" s="868">
        <f>+Resultados!E10</f>
        <v>0</v>
      </c>
      <c r="H47" s="869" t="str">
        <f>+Resultados!F10</f>
        <v/>
      </c>
      <c r="I47" s="868">
        <f>+Resultados!G10</f>
        <v>0</v>
      </c>
      <c r="J47" s="869" t="str">
        <f>+Resultados!H10</f>
        <v/>
      </c>
      <c r="K47" s="222"/>
    </row>
    <row r="48" spans="1:15">
      <c r="A48" s="1277"/>
      <c r="B48" s="982"/>
      <c r="C48" s="877" t="str">
        <f>+Resultados!B11</f>
        <v>Seguridad social</v>
      </c>
      <c r="D48" s="861"/>
      <c r="E48" s="868">
        <f>+Resultados!C11</f>
        <v>0</v>
      </c>
      <c r="F48" s="869" t="str">
        <f>+Resultados!D11</f>
        <v/>
      </c>
      <c r="G48" s="868">
        <f>+Resultados!E11</f>
        <v>0</v>
      </c>
      <c r="H48" s="869" t="str">
        <f>+Resultados!F11</f>
        <v/>
      </c>
      <c r="I48" s="868">
        <f>+Resultados!G11</f>
        <v>0</v>
      </c>
      <c r="J48" s="869" t="str">
        <f>+Resultados!H11</f>
        <v/>
      </c>
      <c r="K48" s="222"/>
    </row>
    <row r="49" spans="1:11">
      <c r="A49" s="1277"/>
      <c r="B49" s="982"/>
      <c r="C49" s="877" t="str">
        <f>+Resultados!B12</f>
        <v>Publicidad</v>
      </c>
      <c r="D49" s="861"/>
      <c r="E49" s="868">
        <f>+Resultados!C12</f>
        <v>0</v>
      </c>
      <c r="F49" s="869" t="str">
        <f>+Resultados!D12</f>
        <v/>
      </c>
      <c r="G49" s="868">
        <f>+Resultados!E12</f>
        <v>0</v>
      </c>
      <c r="H49" s="869" t="str">
        <f>+Resultados!F12</f>
        <v/>
      </c>
      <c r="I49" s="868">
        <f>+Resultados!G12</f>
        <v>0</v>
      </c>
      <c r="J49" s="869" t="str">
        <f>+Resultados!H12</f>
        <v/>
      </c>
      <c r="K49" s="222"/>
    </row>
    <row r="50" spans="1:11">
      <c r="A50" s="1277"/>
      <c r="B50" s="982"/>
      <c r="C50" s="877">
        <f>+Resultados!B13</f>
        <v>0</v>
      </c>
      <c r="D50" s="861"/>
      <c r="E50" s="868">
        <f>+Resultados!C13</f>
        <v>0</v>
      </c>
      <c r="F50" s="869" t="str">
        <f>+Resultados!D13</f>
        <v/>
      </c>
      <c r="G50" s="868">
        <f>+Resultados!E13</f>
        <v>0</v>
      </c>
      <c r="H50" s="869" t="str">
        <f>+Resultados!F13</f>
        <v/>
      </c>
      <c r="I50" s="868">
        <f>+Resultados!G13</f>
        <v>0</v>
      </c>
      <c r="J50" s="869" t="str">
        <f>+Resultados!H13</f>
        <v/>
      </c>
      <c r="K50" s="222"/>
    </row>
    <row r="51" spans="1:11">
      <c r="A51" s="1277"/>
      <c r="B51" s="982"/>
      <c r="C51" s="877">
        <f>+Resultados!B14</f>
        <v>0</v>
      </c>
      <c r="D51" s="861"/>
      <c r="E51" s="868">
        <f>+Resultados!C14</f>
        <v>0</v>
      </c>
      <c r="F51" s="869" t="str">
        <f>+Resultados!D14</f>
        <v/>
      </c>
      <c r="G51" s="868">
        <f>+Resultados!E14</f>
        <v>0</v>
      </c>
      <c r="H51" s="869" t="str">
        <f>+Resultados!F14</f>
        <v/>
      </c>
      <c r="I51" s="868">
        <f>+Resultados!G14</f>
        <v>0</v>
      </c>
      <c r="J51" s="869" t="str">
        <f>+Resultados!H14</f>
        <v/>
      </c>
      <c r="K51" s="222"/>
    </row>
    <row r="52" spans="1:11">
      <c r="A52" s="1277"/>
      <c r="B52" s="982"/>
      <c r="C52" s="877">
        <f>+Resultados!B15</f>
        <v>0</v>
      </c>
      <c r="D52" s="861"/>
      <c r="E52" s="868">
        <f>+Resultados!C15</f>
        <v>0</v>
      </c>
      <c r="F52" s="869" t="str">
        <f>+Resultados!D15</f>
        <v/>
      </c>
      <c r="G52" s="868">
        <f>+Resultados!E15</f>
        <v>0</v>
      </c>
      <c r="H52" s="869" t="str">
        <f>+Resultados!F15</f>
        <v/>
      </c>
      <c r="I52" s="868">
        <f>+Resultados!G15</f>
        <v>0</v>
      </c>
      <c r="J52" s="869" t="str">
        <f>+Resultados!H15</f>
        <v/>
      </c>
      <c r="K52" s="222"/>
    </row>
    <row r="53" spans="1:11">
      <c r="A53" s="1277"/>
      <c r="B53" s="982"/>
      <c r="C53" s="877" t="str">
        <f>+Resultados!B16</f>
        <v>Otros costes fijos</v>
      </c>
      <c r="D53" s="861"/>
      <c r="E53" s="868">
        <f>+Resultados!C16</f>
        <v>0</v>
      </c>
      <c r="F53" s="869" t="str">
        <f>+Resultados!D16</f>
        <v/>
      </c>
      <c r="G53" s="868">
        <f>+Resultados!E16</f>
        <v>0</v>
      </c>
      <c r="H53" s="869" t="str">
        <f>+Resultados!F16</f>
        <v/>
      </c>
      <c r="I53" s="868">
        <f>+Resultados!G16</f>
        <v>0</v>
      </c>
      <c r="J53" s="869" t="str">
        <f>+Resultados!H16</f>
        <v/>
      </c>
      <c r="K53" s="222"/>
    </row>
    <row r="54" spans="1:11">
      <c r="A54" s="1277"/>
      <c r="B54" s="982"/>
      <c r="C54" s="877" t="str">
        <f>+Resultados!B17</f>
        <v>Amortización</v>
      </c>
      <c r="D54" s="861"/>
      <c r="E54" s="868">
        <f ca="1">+Resultados!C17</f>
        <v>0</v>
      </c>
      <c r="F54" s="869" t="str">
        <f ca="1">+Resultados!D17</f>
        <v/>
      </c>
      <c r="G54" s="868">
        <f ca="1">+Resultados!E17</f>
        <v>0</v>
      </c>
      <c r="H54" s="869" t="str">
        <f ca="1">+Resultados!F17</f>
        <v/>
      </c>
      <c r="I54" s="868">
        <f ca="1">+Resultados!G17</f>
        <v>0</v>
      </c>
      <c r="J54" s="869" t="str">
        <f ca="1">+Resultados!H17</f>
        <v/>
      </c>
      <c r="K54" s="222"/>
    </row>
    <row r="55" spans="1:11">
      <c r="A55" s="1277"/>
      <c r="B55" s="982"/>
      <c r="C55" s="877" t="str">
        <f>+Resultados!B18</f>
        <v>Provisiones</v>
      </c>
      <c r="D55" s="861"/>
      <c r="E55" s="868">
        <f>+Resultados!C18</f>
        <v>0</v>
      </c>
      <c r="F55" s="869" t="str">
        <f>+Resultados!D18</f>
        <v/>
      </c>
      <c r="G55" s="868">
        <f>+Resultados!E18</f>
        <v>0</v>
      </c>
      <c r="H55" s="869" t="str">
        <f>+Resultados!F18</f>
        <v/>
      </c>
      <c r="I55" s="868">
        <f>+Resultados!G18</f>
        <v>0</v>
      </c>
      <c r="J55" s="869" t="str">
        <f>+Resultados!H18</f>
        <v/>
      </c>
      <c r="K55" s="222"/>
    </row>
    <row r="56" spans="1:11">
      <c r="A56" s="1277"/>
      <c r="B56" s="982"/>
      <c r="C56" s="877" t="str">
        <f>+Resultados!B19</f>
        <v>Gastos financieros</v>
      </c>
      <c r="D56" s="861"/>
      <c r="E56" s="868">
        <f ca="1">+Resultados!C19</f>
        <v>0</v>
      </c>
      <c r="F56" s="869" t="str">
        <f ca="1">+Resultados!D19</f>
        <v/>
      </c>
      <c r="G56" s="868">
        <f ca="1">+Resultados!E19</f>
        <v>0</v>
      </c>
      <c r="H56" s="869" t="str">
        <f ca="1">+Resultados!F19</f>
        <v/>
      </c>
      <c r="I56" s="868">
        <f ca="1">+Resultados!G19</f>
        <v>0</v>
      </c>
      <c r="J56" s="869" t="str">
        <f ca="1">+Resultados!H19</f>
        <v/>
      </c>
      <c r="K56" s="222"/>
    </row>
    <row r="57" spans="1:11" ht="6.75" customHeight="1">
      <c r="A57" s="1277"/>
      <c r="B57" s="982"/>
      <c r="C57" s="871"/>
      <c r="D57" s="861"/>
      <c r="E57" s="871"/>
      <c r="F57" s="871"/>
      <c r="G57" s="871"/>
      <c r="H57" s="871"/>
      <c r="I57" s="871"/>
      <c r="J57" s="871"/>
      <c r="K57" s="222"/>
    </row>
    <row r="58" spans="1:11">
      <c r="A58" s="1277"/>
      <c r="B58" s="982"/>
      <c r="C58" s="873" t="str">
        <f>+Resultados!B21</f>
        <v>Resultado antes impuestos</v>
      </c>
      <c r="D58" s="861"/>
      <c r="E58" s="874">
        <f ca="1">+Resultados!C21</f>
        <v>0</v>
      </c>
      <c r="F58" s="875" t="str">
        <f ca="1">+Resultados!D21</f>
        <v/>
      </c>
      <c r="G58" s="874">
        <f ca="1">+Resultados!E21</f>
        <v>0</v>
      </c>
      <c r="H58" s="875" t="str">
        <f ca="1">+Resultados!F21</f>
        <v/>
      </c>
      <c r="I58" s="874">
        <f ca="1">+Resultados!G21</f>
        <v>0</v>
      </c>
      <c r="J58" s="875" t="str">
        <f ca="1">+Resultados!H21</f>
        <v/>
      </c>
      <c r="K58" s="222"/>
    </row>
    <row r="59" spans="1:11" ht="6.75" customHeight="1">
      <c r="A59" s="1277"/>
      <c r="B59" s="982"/>
      <c r="C59" s="871"/>
      <c r="D59" s="861"/>
      <c r="E59" s="871"/>
      <c r="F59" s="871"/>
      <c r="G59" s="871"/>
      <c r="H59" s="871"/>
      <c r="I59" s="871"/>
      <c r="J59" s="871"/>
      <c r="K59" s="222"/>
    </row>
    <row r="60" spans="1:11">
      <c r="A60" s="1277"/>
      <c r="B60" s="982"/>
      <c r="C60" s="877" t="str">
        <f>+Resultados!B23</f>
        <v>Impuestos</v>
      </c>
      <c r="D60" s="861"/>
      <c r="E60" s="870">
        <f ca="1">+Resultados!C23</f>
        <v>0</v>
      </c>
      <c r="F60" s="871">
        <f>+Resultados!D23</f>
        <v>0</v>
      </c>
      <c r="G60" s="870">
        <f ca="1">+Resultados!E23</f>
        <v>0</v>
      </c>
      <c r="H60" s="871">
        <f>+Resultados!F23</f>
        <v>0</v>
      </c>
      <c r="I60" s="870">
        <f ca="1">+Resultados!G23</f>
        <v>0</v>
      </c>
      <c r="J60" s="871">
        <f>+Resultados!H23</f>
        <v>0</v>
      </c>
      <c r="K60" s="222"/>
    </row>
    <row r="61" spans="1:11" ht="6.75" customHeight="1">
      <c r="A61" s="1277"/>
      <c r="B61" s="982"/>
      <c r="C61" s="865"/>
      <c r="D61" s="861"/>
      <c r="E61" s="865"/>
      <c r="F61" s="865"/>
      <c r="G61" s="865"/>
      <c r="H61" s="865"/>
      <c r="I61" s="865"/>
      <c r="J61" s="865"/>
      <c r="K61" s="222"/>
    </row>
    <row r="62" spans="1:11">
      <c r="A62" s="1277"/>
      <c r="B62" s="982"/>
      <c r="C62" s="873" t="str">
        <f>+Resultados!B25</f>
        <v>Resultado después impuestos</v>
      </c>
      <c r="D62" s="861"/>
      <c r="E62" s="874">
        <f ca="1">+Resultados!C25</f>
        <v>0</v>
      </c>
      <c r="F62" s="875" t="str">
        <f ca="1">+Resultados!D25</f>
        <v/>
      </c>
      <c r="G62" s="874">
        <f ca="1">+Resultados!E25</f>
        <v>0</v>
      </c>
      <c r="H62" s="875" t="str">
        <f ca="1">+Resultados!F25</f>
        <v/>
      </c>
      <c r="I62" s="874">
        <f ca="1">+Resultados!G25</f>
        <v>0</v>
      </c>
      <c r="J62" s="875" t="str">
        <f ca="1">+Resultados!H25</f>
        <v/>
      </c>
      <c r="K62" s="222"/>
    </row>
    <row r="63" spans="1:11" ht="5.25" customHeight="1">
      <c r="A63" s="1277"/>
      <c r="B63" s="982"/>
      <c r="C63" s="865"/>
      <c r="D63" s="861"/>
      <c r="E63" s="865"/>
      <c r="F63" s="865"/>
      <c r="G63" s="865"/>
      <c r="H63" s="865"/>
      <c r="I63" s="865"/>
      <c r="J63" s="866"/>
      <c r="K63" s="222"/>
    </row>
    <row r="64" spans="1:11">
      <c r="A64" s="1277"/>
      <c r="B64" s="982"/>
      <c r="C64" s="873" t="str">
        <f>+Resultados!B27</f>
        <v>Punto de equilibrio</v>
      </c>
      <c r="D64" s="861"/>
      <c r="E64" s="921">
        <f ca="1">IF(ISERROR(+Resultados!C27),"",(+Resultados!C27))</f>
        <v>0</v>
      </c>
      <c r="F64" s="890">
        <f>+Resultados!D27</f>
        <v>0</v>
      </c>
      <c r="G64" s="921">
        <f ca="1">IF(ISERROR(+Resultados!E27),"",(+Resultados!E27))</f>
        <v>0</v>
      </c>
      <c r="H64" s="865">
        <f>+Resultados!F27</f>
        <v>0</v>
      </c>
      <c r="I64" s="921">
        <f ca="1">IF(ISERROR(+Resultados!G27),"",(+Resultados!G27))</f>
        <v>0</v>
      </c>
      <c r="J64" s="866"/>
      <c r="K64" s="222"/>
    </row>
    <row r="65" spans="1:12">
      <c r="C65" s="914"/>
      <c r="D65" s="863"/>
      <c r="E65" s="878"/>
      <c r="F65" s="890"/>
      <c r="G65" s="878"/>
      <c r="H65" s="865"/>
      <c r="I65" s="878"/>
      <c r="J65" s="866"/>
      <c r="K65" s="222"/>
    </row>
    <row r="66" spans="1:12" ht="30.75">
      <c r="A66" s="1278" t="s">
        <v>902</v>
      </c>
      <c r="B66" s="983"/>
      <c r="C66" s="915" t="s">
        <v>353</v>
      </c>
      <c r="D66" s="864" t="str">
        <f>+Balance!B1</f>
        <v>BALANCE INICIAL</v>
      </c>
      <c r="E66" s="916">
        <f>+Balance!D1</f>
        <v>44531</v>
      </c>
      <c r="F66" s="916">
        <f>+Balance!F1</f>
        <v>44896</v>
      </c>
      <c r="G66" s="916">
        <f>+Balance!H1</f>
        <v>45261</v>
      </c>
      <c r="H66" s="221" t="s">
        <v>46</v>
      </c>
      <c r="I66" s="861"/>
      <c r="J66" s="861"/>
      <c r="K66" s="861"/>
      <c r="L66" s="117"/>
    </row>
    <row r="67" spans="1:12">
      <c r="A67" s="1278"/>
      <c r="B67" s="983"/>
      <c r="C67" s="879" t="str">
        <f>+Balance!A2</f>
        <v>ACTIVO</v>
      </c>
      <c r="D67" s="880"/>
      <c r="E67" s="880"/>
      <c r="F67" s="880"/>
      <c r="G67" s="880"/>
      <c r="H67" s="881"/>
      <c r="I67" s="863"/>
      <c r="J67" s="861"/>
      <c r="K67" s="861"/>
      <c r="L67" s="117"/>
    </row>
    <row r="68" spans="1:12">
      <c r="A68" s="1278"/>
      <c r="B68" s="983"/>
      <c r="C68" s="880" t="str">
        <f>+Balance!A3</f>
        <v>ACTIVO NO CORRIENTE</v>
      </c>
      <c r="D68" s="882">
        <f ca="1">+Balance!B3</f>
        <v>0</v>
      </c>
      <c r="E68" s="882">
        <f ca="1">+Balance!D3</f>
        <v>0</v>
      </c>
      <c r="F68" s="882">
        <f ca="1">+Balance!F3</f>
        <v>0</v>
      </c>
      <c r="G68" s="882">
        <f ca="1">+Balance!H3</f>
        <v>0</v>
      </c>
      <c r="H68" s="883" t="str">
        <f ca="1">IF(ISERROR(+G68/#REF!),"",(+G68/#REF!))</f>
        <v/>
      </c>
      <c r="I68" s="863"/>
      <c r="J68" s="861"/>
      <c r="K68" s="861"/>
      <c r="L68" s="117"/>
    </row>
    <row r="69" spans="1:12" ht="18.75" hidden="1" customHeight="1">
      <c r="A69" s="1278"/>
      <c r="B69" s="983"/>
      <c r="C69" s="884" t="str">
        <f>+Balance!A4</f>
        <v>Inmovilizado intangible</v>
      </c>
      <c r="D69" s="885">
        <f ca="1">+Balance!B4</f>
        <v>0</v>
      </c>
      <c r="E69" s="885">
        <f ca="1">+Balance!D4</f>
        <v>0</v>
      </c>
      <c r="F69" s="885">
        <f ca="1">+Balance!F4</f>
        <v>0</v>
      </c>
      <c r="G69" s="885">
        <f ca="1">+Balance!H4</f>
        <v>0</v>
      </c>
      <c r="H69" s="881"/>
      <c r="I69" s="863"/>
      <c r="J69" s="861"/>
      <c r="K69" s="861"/>
      <c r="L69" s="117"/>
    </row>
    <row r="70" spans="1:12" ht="18.75" hidden="1" customHeight="1">
      <c r="A70" s="1278"/>
      <c r="B70" s="983"/>
      <c r="C70" s="884" t="str">
        <f>+Balance!A10</f>
        <v>Inmovilizado tangible</v>
      </c>
      <c r="D70" s="885">
        <f ca="1">+Balance!B10</f>
        <v>0</v>
      </c>
      <c r="E70" s="885">
        <f ca="1">+Balance!D10</f>
        <v>0</v>
      </c>
      <c r="F70" s="885">
        <f ca="1">+Balance!F10</f>
        <v>0</v>
      </c>
      <c r="G70" s="885">
        <f ca="1">+Balance!H10</f>
        <v>0</v>
      </c>
      <c r="H70" s="881"/>
      <c r="I70" s="863"/>
      <c r="J70" s="861"/>
      <c r="K70" s="861"/>
      <c r="L70" s="117"/>
    </row>
    <row r="71" spans="1:12" ht="18.75" hidden="1" customHeight="1">
      <c r="A71" s="1278"/>
      <c r="B71" s="983"/>
      <c r="C71" s="884" t="str">
        <f>+Balance!A20</f>
        <v>Inversiones financieras</v>
      </c>
      <c r="D71" s="885">
        <f ca="1">+Balance!B20</f>
        <v>0</v>
      </c>
      <c r="E71" s="885">
        <f ca="1">+Balance!D20</f>
        <v>0</v>
      </c>
      <c r="F71" s="885">
        <f ca="1">+Balance!F20</f>
        <v>0</v>
      </c>
      <c r="G71" s="885">
        <f ca="1">+Balance!H20</f>
        <v>0</v>
      </c>
      <c r="H71" s="881"/>
      <c r="I71" s="863"/>
      <c r="J71" s="861"/>
      <c r="K71" s="861"/>
      <c r="L71" s="117"/>
    </row>
    <row r="72" spans="1:12">
      <c r="A72" s="1278"/>
      <c r="B72" s="983"/>
      <c r="C72" s="880" t="str">
        <f>+Balance!A22</f>
        <v>ACTIVO CORRIENTE</v>
      </c>
      <c r="D72" s="882">
        <f ca="1">+Balance!B22</f>
        <v>0</v>
      </c>
      <c r="E72" s="882">
        <f ca="1">+Balance!D22</f>
        <v>0</v>
      </c>
      <c r="F72" s="882">
        <f ca="1">+Balance!F22</f>
        <v>0</v>
      </c>
      <c r="G72" s="882">
        <f ca="1">+Balance!H22</f>
        <v>0</v>
      </c>
      <c r="H72" s="883" t="str">
        <f ca="1">IF(ISERROR(+G72/#REF!),"",(+G72/#REF!))</f>
        <v/>
      </c>
      <c r="I72" s="863"/>
      <c r="J72" s="861"/>
      <c r="K72" s="861"/>
      <c r="L72" s="117"/>
    </row>
    <row r="73" spans="1:12">
      <c r="A73" s="1278"/>
      <c r="B73" s="983"/>
      <c r="C73" s="884" t="str">
        <f>+Balance!A23</f>
        <v>Existencias</v>
      </c>
      <c r="D73" s="886">
        <f ca="1">+Balance!B23</f>
        <v>0</v>
      </c>
      <c r="E73" s="887">
        <f ca="1">+Balance!D23</f>
        <v>0</v>
      </c>
      <c r="F73" s="887">
        <f ca="1">+Balance!F23</f>
        <v>0</v>
      </c>
      <c r="G73" s="887">
        <f ca="1">+Balance!H23</f>
        <v>0</v>
      </c>
      <c r="H73" s="888"/>
      <c r="I73" s="863"/>
      <c r="J73" s="861"/>
      <c r="K73" s="861"/>
      <c r="L73" s="117"/>
    </row>
    <row r="74" spans="1:12">
      <c r="A74" s="1278"/>
      <c r="B74" s="983"/>
      <c r="C74" s="884" t="str">
        <f>+Balance!A24</f>
        <v>Deudores</v>
      </c>
      <c r="D74" s="886">
        <f ca="1">+Balance!B24</f>
        <v>0</v>
      </c>
      <c r="E74" s="886">
        <f ca="1">+Balance!D24</f>
        <v>0</v>
      </c>
      <c r="F74" s="886">
        <f ca="1">+Balance!F24</f>
        <v>0</v>
      </c>
      <c r="G74" s="886">
        <f ca="1">+Balance!H24</f>
        <v>0</v>
      </c>
      <c r="H74" s="888"/>
      <c r="I74" s="861"/>
      <c r="J74" s="861"/>
      <c r="K74" s="861"/>
      <c r="L74" s="117"/>
    </row>
    <row r="75" spans="1:12">
      <c r="A75" s="1278"/>
      <c r="B75" s="983"/>
      <c r="C75" s="884" t="str">
        <f>+Balance!A29</f>
        <v>Tesorería</v>
      </c>
      <c r="D75" s="885">
        <f>+Balance!B29</f>
        <v>0</v>
      </c>
      <c r="E75" s="885">
        <f ca="1">+Balance!D29</f>
        <v>0</v>
      </c>
      <c r="F75" s="885">
        <f ca="1">+Balance!F29</f>
        <v>0</v>
      </c>
      <c r="G75" s="885">
        <f ca="1">+Balance!H29</f>
        <v>0</v>
      </c>
      <c r="H75" s="881"/>
      <c r="I75" s="861"/>
      <c r="J75" s="861"/>
      <c r="K75" s="861"/>
      <c r="L75" s="117"/>
    </row>
    <row r="76" spans="1:12">
      <c r="A76" s="1278"/>
      <c r="B76" s="983"/>
      <c r="C76" s="889" t="str">
        <f>+Balance!A30</f>
        <v>TOTAL ACTIVO</v>
      </c>
      <c r="D76" s="882">
        <f ca="1">+D68+D72</f>
        <v>0</v>
      </c>
      <c r="E76" s="882">
        <f ca="1">+Balance!D30</f>
        <v>0</v>
      </c>
      <c r="F76" s="882">
        <f ca="1">+Balance!F30</f>
        <v>0</v>
      </c>
      <c r="G76" s="882">
        <f ca="1">+Balance!H30</f>
        <v>0</v>
      </c>
      <c r="H76" s="883" t="str">
        <f ca="1">IF(ISERROR(+G76/#REF!),"",(+G76/#REF!))</f>
        <v/>
      </c>
      <c r="I76" s="861"/>
      <c r="J76" s="861"/>
      <c r="K76" s="861"/>
      <c r="L76" s="117"/>
    </row>
    <row r="77" spans="1:12">
      <c r="A77" s="1278"/>
      <c r="B77" s="983"/>
      <c r="C77" s="879" t="s">
        <v>356</v>
      </c>
      <c r="D77" s="885"/>
      <c r="E77" s="885"/>
      <c r="F77" s="885"/>
      <c r="G77" s="885"/>
      <c r="H77" s="881"/>
      <c r="I77" s="861"/>
      <c r="J77" s="861"/>
      <c r="K77" s="861"/>
      <c r="L77" s="117"/>
    </row>
    <row r="78" spans="1:12">
      <c r="A78" s="1278"/>
      <c r="B78" s="983"/>
      <c r="C78" s="880" t="str">
        <f>+Balance!A33</f>
        <v>PATRIMONIO NETO</v>
      </c>
      <c r="D78" s="882">
        <f ca="1">+Balance!B33</f>
        <v>0</v>
      </c>
      <c r="E78" s="882">
        <f ca="1">+Balance!D33</f>
        <v>0</v>
      </c>
      <c r="F78" s="882">
        <f ca="1">+Balance!F33</f>
        <v>0</v>
      </c>
      <c r="G78" s="882">
        <f ca="1">+Balance!H33</f>
        <v>0</v>
      </c>
      <c r="H78" s="883" t="str">
        <f ca="1">IF(ISERROR(+G78/#REF!),"",(+G78/#REF!))</f>
        <v/>
      </c>
      <c r="I78" s="861"/>
      <c r="J78" s="861"/>
      <c r="K78" s="861"/>
      <c r="L78" s="117"/>
    </row>
    <row r="79" spans="1:12" ht="18.75" hidden="1" customHeight="1">
      <c r="A79" s="1278"/>
      <c r="B79" s="983"/>
      <c r="C79" s="884" t="str">
        <f>+Balance!A34</f>
        <v>Capital</v>
      </c>
      <c r="D79" s="885">
        <f ca="1">+Balance!B34</f>
        <v>0</v>
      </c>
      <c r="E79" s="885">
        <f ca="1">+Balance!D34</f>
        <v>0</v>
      </c>
      <c r="F79" s="885">
        <f ca="1">+Balance!F34</f>
        <v>0</v>
      </c>
      <c r="G79" s="885">
        <f ca="1">+Balance!H34</f>
        <v>0</v>
      </c>
      <c r="H79" s="881"/>
      <c r="I79" s="861"/>
      <c r="J79" s="861"/>
      <c r="K79" s="861"/>
      <c r="L79" s="117"/>
    </row>
    <row r="80" spans="1:12" ht="18.75" hidden="1" customHeight="1">
      <c r="A80" s="1278"/>
      <c r="B80" s="983"/>
      <c r="C80" s="884" t="str">
        <f>+Balance!A35</f>
        <v>Capitalización paro</v>
      </c>
      <c r="D80" s="885">
        <f ca="1">+Balance!B35</f>
        <v>0</v>
      </c>
      <c r="E80" s="885">
        <f ca="1">+Balance!D35</f>
        <v>0</v>
      </c>
      <c r="F80" s="885">
        <f ca="1">+Balance!F35</f>
        <v>0</v>
      </c>
      <c r="G80" s="885">
        <f ca="1">+Balance!H35</f>
        <v>0</v>
      </c>
      <c r="H80" s="881"/>
      <c r="I80" s="861" t="s">
        <v>46</v>
      </c>
      <c r="J80" s="861"/>
      <c r="K80" s="861"/>
      <c r="L80" s="117"/>
    </row>
    <row r="81" spans="1:12" ht="18.75" hidden="1" customHeight="1">
      <c r="A81" s="1278"/>
      <c r="B81" s="983"/>
      <c r="C81" s="884" t="str">
        <f>+Balance!A36</f>
        <v>Aportación socios</v>
      </c>
      <c r="D81" s="885">
        <f ca="1">+Balance!B36</f>
        <v>0</v>
      </c>
      <c r="E81" s="885">
        <f ca="1">+Balance!D36</f>
        <v>0</v>
      </c>
      <c r="F81" s="885">
        <f ca="1">+Balance!F36</f>
        <v>0</v>
      </c>
      <c r="G81" s="885">
        <f ca="1">+Balance!H36</f>
        <v>0</v>
      </c>
      <c r="H81" s="881"/>
      <c r="I81" s="861"/>
      <c r="J81" s="861"/>
      <c r="K81" s="861"/>
      <c r="L81" s="117"/>
    </row>
    <row r="82" spans="1:12" ht="18.75" hidden="1" customHeight="1">
      <c r="A82" s="1278"/>
      <c r="B82" s="983"/>
      <c r="C82" s="884" t="str">
        <f>+Balance!A37</f>
        <v>Reservas</v>
      </c>
      <c r="D82" s="885">
        <f ca="1">+Balance!B37</f>
        <v>0</v>
      </c>
      <c r="E82" s="885">
        <f ca="1">+Balance!D37</f>
        <v>0</v>
      </c>
      <c r="F82" s="885">
        <f ca="1">+Balance!F37</f>
        <v>0</v>
      </c>
      <c r="G82" s="885">
        <f ca="1">+Balance!H37</f>
        <v>0</v>
      </c>
      <c r="H82" s="881"/>
      <c r="I82" s="861"/>
      <c r="J82" s="861"/>
      <c r="K82" s="861"/>
      <c r="L82" s="117"/>
    </row>
    <row r="83" spans="1:12" ht="18.75" hidden="1" customHeight="1">
      <c r="A83" s="1278"/>
      <c r="B83" s="983"/>
      <c r="C83" s="884" t="str">
        <f>+Balance!A38</f>
        <v>Resultados</v>
      </c>
      <c r="D83" s="885">
        <f>+Balance!B38</f>
        <v>0</v>
      </c>
      <c r="E83" s="885">
        <f ca="1">+Balance!D38</f>
        <v>0</v>
      </c>
      <c r="F83" s="885">
        <f ca="1">+Balance!F38</f>
        <v>0</v>
      </c>
      <c r="G83" s="885">
        <f ca="1">+Balance!H38</f>
        <v>0</v>
      </c>
      <c r="H83" s="881"/>
      <c r="I83" s="861"/>
      <c r="J83" s="861"/>
      <c r="K83" s="861"/>
      <c r="L83" s="117"/>
    </row>
    <row r="84" spans="1:12" ht="18.75" hidden="1" customHeight="1">
      <c r="A84" s="1278"/>
      <c r="B84" s="983"/>
      <c r="C84" s="884" t="str">
        <f>+Balance!A39</f>
        <v>Subvenciones</v>
      </c>
      <c r="D84" s="885">
        <f ca="1">+Balance!B39</f>
        <v>0</v>
      </c>
      <c r="E84" s="885">
        <f ca="1">+Balance!D39</f>
        <v>0</v>
      </c>
      <c r="F84" s="885">
        <f ca="1">+Balance!F39</f>
        <v>0</v>
      </c>
      <c r="G84" s="885">
        <f ca="1">+Balance!H39</f>
        <v>0</v>
      </c>
      <c r="H84" s="881"/>
      <c r="I84" s="861"/>
      <c r="J84" s="861"/>
      <c r="K84" s="861"/>
      <c r="L84" s="117"/>
    </row>
    <row r="85" spans="1:12">
      <c r="A85" s="1278"/>
      <c r="B85" s="983"/>
      <c r="C85" s="880" t="str">
        <f>+Balance!A40</f>
        <v>PASIVO NO CORRIENTE</v>
      </c>
      <c r="D85" s="882">
        <f ca="1">+Balance!B40</f>
        <v>0</v>
      </c>
      <c r="E85" s="882">
        <f ca="1">+Balance!D40</f>
        <v>0</v>
      </c>
      <c r="F85" s="882">
        <f ca="1">+Balance!F40</f>
        <v>0</v>
      </c>
      <c r="G85" s="882">
        <f ca="1">+Balance!H40</f>
        <v>0</v>
      </c>
      <c r="H85" s="883" t="str">
        <f ca="1">IF(ISERROR(+G85/#REF!),"",(+G85/#REF!))</f>
        <v/>
      </c>
      <c r="I85" s="861"/>
      <c r="J85" s="861" t="s">
        <v>46</v>
      </c>
      <c r="K85" s="861"/>
      <c r="L85" s="117"/>
    </row>
    <row r="86" spans="1:12" ht="18.75" hidden="1" customHeight="1">
      <c r="A86" s="1278"/>
      <c r="B86" s="983"/>
      <c r="C86" s="890" t="str">
        <f>+Balance!A41</f>
        <v>Préstamo</v>
      </c>
      <c r="D86" s="885">
        <f ca="1">+Balance!B41</f>
        <v>0</v>
      </c>
      <c r="E86" s="885">
        <f ca="1">+Balance!D41</f>
        <v>0</v>
      </c>
      <c r="F86" s="885">
        <f ca="1">+Balance!F41</f>
        <v>0</v>
      </c>
      <c r="G86" s="885">
        <f ca="1">+Balance!H41</f>
        <v>0</v>
      </c>
      <c r="H86" s="881"/>
      <c r="I86" s="861"/>
      <c r="J86" s="861"/>
      <c r="K86" s="861"/>
      <c r="L86" s="117"/>
    </row>
    <row r="87" spans="1:12" s="168" customFormat="1">
      <c r="A87" s="1278"/>
      <c r="B87" s="983"/>
      <c r="C87" s="880" t="str">
        <f>+Balance!A42</f>
        <v>PASIVO CORRIENTE</v>
      </c>
      <c r="D87" s="882">
        <f ca="1">+Balance!B42</f>
        <v>0</v>
      </c>
      <c r="E87" s="882">
        <f ca="1">+Balance!D42</f>
        <v>0</v>
      </c>
      <c r="F87" s="882">
        <f ca="1">+Balance!F42</f>
        <v>0</v>
      </c>
      <c r="G87" s="882">
        <f ca="1">+Balance!H42</f>
        <v>0</v>
      </c>
      <c r="H87" s="883" t="str">
        <f ca="1">IF(ISERROR(+G87/#REF!),"",(+G87/#REF!))</f>
        <v/>
      </c>
      <c r="I87" s="861"/>
      <c r="J87" s="861"/>
      <c r="K87" s="861"/>
    </row>
    <row r="88" spans="1:12" s="168" customFormat="1">
      <c r="A88" s="1278"/>
      <c r="B88" s="983"/>
      <c r="C88" s="884" t="str">
        <f>+Balance!A43</f>
        <v>Préstamo corto plazo</v>
      </c>
      <c r="D88" s="885">
        <f ca="1">+Balance!B43</f>
        <v>0</v>
      </c>
      <c r="E88" s="885">
        <f ca="1">+Balance!D43</f>
        <v>0</v>
      </c>
      <c r="F88" s="885">
        <f ca="1">+Balance!F43</f>
        <v>0</v>
      </c>
      <c r="G88" s="885">
        <f ca="1">+Balance!H43</f>
        <v>0</v>
      </c>
      <c r="H88" s="881"/>
      <c r="I88" s="861"/>
      <c r="J88" s="861"/>
      <c r="K88" s="861"/>
    </row>
    <row r="89" spans="1:12" s="168" customFormat="1">
      <c r="A89" s="1278"/>
      <c r="B89" s="983"/>
      <c r="C89" s="884" t="str">
        <f>+Balance!A44</f>
        <v>Proveedores</v>
      </c>
      <c r="D89" s="885">
        <f ca="1">+Balance!B44</f>
        <v>0</v>
      </c>
      <c r="E89" s="885">
        <f ca="1">+Balance!D44</f>
        <v>0</v>
      </c>
      <c r="F89" s="885">
        <f ca="1">+Balance!F44</f>
        <v>0</v>
      </c>
      <c r="G89" s="885">
        <f ca="1">+Balance!H44</f>
        <v>0</v>
      </c>
      <c r="H89" s="881"/>
      <c r="I89" s="861"/>
      <c r="J89" s="861"/>
      <c r="K89" s="861"/>
    </row>
    <row r="90" spans="1:12" s="168" customFormat="1">
      <c r="A90" s="1278"/>
      <c r="B90" s="983"/>
      <c r="C90" s="884" t="str">
        <f>+Balance!A45</f>
        <v>Acreedores / Hda. Pública</v>
      </c>
      <c r="D90" s="885">
        <f>+Balance!B45</f>
        <v>0</v>
      </c>
      <c r="E90" s="885">
        <f ca="1">+Balance!D45</f>
        <v>0</v>
      </c>
      <c r="F90" s="885">
        <f ca="1">+Balance!F45</f>
        <v>0</v>
      </c>
      <c r="G90" s="885">
        <f ca="1">+Balance!H45</f>
        <v>0</v>
      </c>
      <c r="H90" s="881"/>
      <c r="I90" s="861"/>
      <c r="J90" s="861"/>
      <c r="K90" s="861"/>
    </row>
    <row r="91" spans="1:12" s="168" customFormat="1">
      <c r="A91" s="1278"/>
      <c r="B91" s="983"/>
      <c r="C91" s="889" t="str">
        <f>+Balance!A51</f>
        <v>TOTAL P.N. Y PASIVO</v>
      </c>
      <c r="D91" s="882">
        <f ca="1">+D78+D85+D87</f>
        <v>0</v>
      </c>
      <c r="E91" s="882">
        <f ca="1">+E78+E85+E87</f>
        <v>0</v>
      </c>
      <c r="F91" s="882">
        <f ca="1">+F78+F85+F87</f>
        <v>0</v>
      </c>
      <c r="G91" s="882">
        <f ca="1">+G78+G85+G87</f>
        <v>0</v>
      </c>
      <c r="H91" s="883" t="str">
        <f ca="1">IF(ISERROR(+G91/#REF!),"",(+G91/#REF!))</f>
        <v/>
      </c>
      <c r="I91" s="861"/>
      <c r="J91" s="861"/>
      <c r="K91" s="861"/>
    </row>
    <row r="92" spans="1:12" s="168" customFormat="1">
      <c r="A92" s="984"/>
      <c r="B92" s="858"/>
      <c r="C92" s="863"/>
      <c r="D92" s="863"/>
      <c r="E92" s="863"/>
      <c r="F92" s="863"/>
      <c r="G92" s="863"/>
      <c r="H92" s="863"/>
      <c r="I92" s="863"/>
      <c r="J92" s="221"/>
      <c r="K92" s="221"/>
    </row>
    <row r="93" spans="1:12" s="168" customFormat="1">
      <c r="A93" s="1278" t="s">
        <v>111</v>
      </c>
      <c r="B93" s="983"/>
      <c r="C93" s="1292" t="s">
        <v>345</v>
      </c>
      <c r="D93" s="1292"/>
      <c r="E93" s="917">
        <f>+E39</f>
        <v>2021</v>
      </c>
      <c r="F93" s="917">
        <f>+G39</f>
        <v>2022</v>
      </c>
      <c r="G93" s="917">
        <f>+I39</f>
        <v>2023</v>
      </c>
      <c r="H93" s="222"/>
      <c r="I93" s="222"/>
      <c r="J93" s="221"/>
      <c r="K93" s="221"/>
    </row>
    <row r="94" spans="1:12" s="168" customFormat="1">
      <c r="A94" s="1278"/>
      <c r="B94" s="983"/>
      <c r="C94" s="863" t="str">
        <f>+'Tesorería mensual'!B3</f>
        <v>Financiación / Aportación socios</v>
      </c>
      <c r="D94" s="863"/>
      <c r="E94" s="918">
        <f>SUM('Tesorería mensual'!C3:N3)</f>
        <v>0</v>
      </c>
      <c r="F94" s="918">
        <f>SUM('Tesorería mensual'!O3:Z3)</f>
        <v>0</v>
      </c>
      <c r="G94" s="918">
        <f>SUM('Tesorería mensual'!AA3:AL3)</f>
        <v>0</v>
      </c>
      <c r="H94" s="222"/>
      <c r="I94" s="222"/>
      <c r="J94" s="221"/>
      <c r="K94" s="221"/>
    </row>
    <row r="95" spans="1:12" s="168" customFormat="1">
      <c r="A95" s="1278"/>
      <c r="B95" s="983"/>
      <c r="C95" s="863" t="str">
        <f>+'Tesorería mensual'!B4</f>
        <v>Ventas</v>
      </c>
      <c r="D95" s="863"/>
      <c r="E95" s="918">
        <f>SUM('Tesorería mensual'!C4:N4)</f>
        <v>0</v>
      </c>
      <c r="F95" s="918">
        <f>SUM('Tesorería mensual'!O4:Z4)</f>
        <v>0</v>
      </c>
      <c r="G95" s="918">
        <f>SUM('Tesorería mensual'!AA4:AL4)</f>
        <v>0</v>
      </c>
      <c r="H95" s="222"/>
      <c r="I95" s="222" t="s">
        <v>46</v>
      </c>
      <c r="J95" s="221"/>
      <c r="K95" s="221"/>
    </row>
    <row r="96" spans="1:12" s="168" customFormat="1">
      <c r="A96" s="1278"/>
      <c r="B96" s="983"/>
      <c r="C96" s="914" t="str">
        <f>+'Tesorería mensual'!B5</f>
        <v>Total Cobros</v>
      </c>
      <c r="D96" s="863"/>
      <c r="E96" s="919">
        <f>SUM('Tesorería mensual'!C5:N5)</f>
        <v>0</v>
      </c>
      <c r="F96" s="919">
        <f>SUM('Tesorería mensual'!O5:Z5)</f>
        <v>0</v>
      </c>
      <c r="G96" s="919">
        <f>SUM('Tesorería mensual'!AA5:AL5)</f>
        <v>0</v>
      </c>
      <c r="H96" s="222"/>
      <c r="I96" s="222"/>
      <c r="J96" s="221"/>
      <c r="K96" s="221"/>
    </row>
    <row r="97" spans="1:16" ht="10.5" customHeight="1">
      <c r="A97" s="1278"/>
      <c r="B97" s="983"/>
      <c r="C97" s="222"/>
      <c r="D97" s="863"/>
      <c r="E97" s="222"/>
      <c r="F97" s="222"/>
      <c r="G97" s="222"/>
      <c r="H97" s="222"/>
      <c r="I97" s="222"/>
      <c r="J97" s="221"/>
      <c r="K97" s="221"/>
    </row>
    <row r="98" spans="1:16" ht="19.5" customHeight="1">
      <c r="A98" s="1278"/>
      <c r="B98" s="983"/>
      <c r="C98" s="891" t="str">
        <f>+'Tesorería mensual'!B43</f>
        <v>TOTAL PAGOS</v>
      </c>
      <c r="D98" s="863"/>
      <c r="E98" s="919">
        <f ca="1">SUM('Tesorería mensual'!C43:N43)</f>
        <v>0</v>
      </c>
      <c r="F98" s="919">
        <f ca="1">SUM('Tesorería mensual'!O43:Z43)</f>
        <v>0</v>
      </c>
      <c r="G98" s="919">
        <f ca="1">SUM('Tesorería mensual'!AA43:AL43)</f>
        <v>0</v>
      </c>
      <c r="H98" s="222"/>
      <c r="I98" s="222"/>
      <c r="J98" s="221"/>
      <c r="K98" s="221"/>
      <c r="L98" s="168" t="s">
        <v>46</v>
      </c>
    </row>
    <row r="99" spans="1:16" ht="10.5" customHeight="1">
      <c r="A99" s="1278"/>
      <c r="B99" s="983"/>
      <c r="C99" s="222"/>
      <c r="D99" s="863"/>
      <c r="E99" s="222"/>
      <c r="F99" s="222"/>
      <c r="G99" s="222"/>
      <c r="H99" s="222"/>
      <c r="I99" s="222"/>
      <c r="J99" s="221"/>
      <c r="K99" s="221"/>
    </row>
    <row r="100" spans="1:16" ht="19.5" customHeight="1">
      <c r="A100" s="1278"/>
      <c r="B100" s="983"/>
      <c r="C100" s="891" t="str">
        <f>+'Tesorería mensual'!B45</f>
        <v>SALDO INICIAL</v>
      </c>
      <c r="D100" s="863"/>
      <c r="E100" s="918">
        <f>+'Tesorería mensual'!C45</f>
        <v>0</v>
      </c>
      <c r="F100" s="918">
        <f ca="1">+E102</f>
        <v>0</v>
      </c>
      <c r="G100" s="918">
        <f ca="1">+F102</f>
        <v>0</v>
      </c>
      <c r="H100" s="222"/>
      <c r="I100" s="222"/>
      <c r="J100" s="221"/>
      <c r="K100" s="221"/>
    </row>
    <row r="101" spans="1:16" ht="19.5" customHeight="1">
      <c r="A101" s="1278"/>
      <c r="B101" s="983"/>
      <c r="C101" s="891" t="str">
        <f>+'Tesorería mensual'!B46</f>
        <v>COBROS - PAGOS</v>
      </c>
      <c r="D101" s="863"/>
      <c r="E101" s="918">
        <f ca="1">+E96+E98</f>
        <v>0</v>
      </c>
      <c r="F101" s="918">
        <f ca="1">+F96+F98</f>
        <v>0</v>
      </c>
      <c r="G101" s="918">
        <f ca="1">+G96+G98</f>
        <v>0</v>
      </c>
      <c r="H101" s="222"/>
      <c r="I101" s="222"/>
      <c r="J101" s="221"/>
      <c r="K101" s="221"/>
    </row>
    <row r="102" spans="1:16" ht="19.5" customHeight="1">
      <c r="A102" s="1278"/>
      <c r="B102" s="983"/>
      <c r="C102" s="891" t="str">
        <f>+'Tesorería mensual'!B47</f>
        <v>SALDO FINAL</v>
      </c>
      <c r="D102" s="863"/>
      <c r="E102" s="920">
        <f ca="1">+E100+E101</f>
        <v>0</v>
      </c>
      <c r="F102" s="920">
        <f ca="1">+F100+F101</f>
        <v>0</v>
      </c>
      <c r="G102" s="920">
        <f ca="1">+G100+G101</f>
        <v>0</v>
      </c>
      <c r="H102" s="222"/>
      <c r="I102" s="222"/>
      <c r="J102" s="221"/>
      <c r="K102" s="221"/>
    </row>
    <row r="103" spans="1:16" s="168" customFormat="1" ht="13.5" customHeight="1">
      <c r="A103" s="984"/>
      <c r="B103" s="858"/>
      <c r="C103" s="892"/>
      <c r="D103" s="928"/>
      <c r="E103" s="928"/>
      <c r="F103" s="928"/>
      <c r="G103" s="892"/>
      <c r="H103" s="892"/>
      <c r="I103" s="892"/>
      <c r="J103" s="892"/>
      <c r="K103" s="892"/>
    </row>
    <row r="104" spans="1:16" s="168" customFormat="1">
      <c r="A104" s="1278" t="s">
        <v>677</v>
      </c>
      <c r="B104" s="983"/>
      <c r="C104" s="897"/>
      <c r="D104" s="1303" t="str">
        <f>Cuestionario!C74</f>
        <v>De origen Interno</v>
      </c>
      <c r="E104" s="1303"/>
      <c r="F104" s="1303"/>
      <c r="G104" s="1303"/>
      <c r="H104" s="1304" t="str">
        <f>Cuestionario!G74</f>
        <v>De origen externo</v>
      </c>
      <c r="I104" s="1304"/>
      <c r="J104" s="898"/>
      <c r="K104" s="898"/>
    </row>
    <row r="105" spans="1:16" s="168" customFormat="1" ht="19.5" thickBot="1">
      <c r="A105" s="1278"/>
      <c r="B105" s="983"/>
      <c r="C105" s="897"/>
      <c r="D105" s="1302" t="str">
        <f>Cuestionario!C75</f>
        <v>Debilidades</v>
      </c>
      <c r="E105" s="1302"/>
      <c r="F105" s="1302"/>
      <c r="G105" s="1302"/>
      <c r="H105" s="1302" t="str">
        <f>Cuestionario!G75</f>
        <v>Amenazas</v>
      </c>
      <c r="I105" s="1302"/>
      <c r="J105" s="1302"/>
      <c r="K105" s="898"/>
    </row>
    <row r="106" spans="1:16" s="168" customFormat="1" ht="86.25" customHeight="1" thickBot="1">
      <c r="A106" s="1278"/>
      <c r="B106" s="983"/>
      <c r="C106" s="899" t="str">
        <f>Cuestionario!B76</f>
        <v>Puntos débiles</v>
      </c>
      <c r="D106" s="1283">
        <f>Cuestionario!C76</f>
        <v>1</v>
      </c>
      <c r="E106" s="1284"/>
      <c r="F106" s="1284"/>
      <c r="G106" s="1285"/>
      <c r="H106" s="1283">
        <f>Cuestionario!G76</f>
        <v>2</v>
      </c>
      <c r="I106" s="1286"/>
      <c r="J106" s="1287"/>
      <c r="K106" s="898"/>
    </row>
    <row r="107" spans="1:16" s="168" customFormat="1" ht="19.5" thickBot="1">
      <c r="A107" s="1278"/>
      <c r="B107" s="983"/>
      <c r="C107" s="900"/>
      <c r="D107" s="1303" t="str">
        <f>Cuestionario!C77</f>
        <v>Fortalezas</v>
      </c>
      <c r="E107" s="1303"/>
      <c r="F107" s="1303"/>
      <c r="G107" s="1303"/>
      <c r="H107" s="1305" t="str">
        <f>Cuestionario!G77</f>
        <v>Oportunidades</v>
      </c>
      <c r="I107" s="1305"/>
      <c r="J107" s="1305"/>
      <c r="K107" s="898"/>
    </row>
    <row r="108" spans="1:16" s="168" customFormat="1" ht="79.5" customHeight="1" thickBot="1">
      <c r="A108" s="1278"/>
      <c r="B108" s="983"/>
      <c r="C108" s="899" t="str">
        <f>Cuestionario!B78</f>
        <v>Puntos Fuertes</v>
      </c>
      <c r="D108" s="1283">
        <f>Cuestionario!C78</f>
        <v>3</v>
      </c>
      <c r="E108" s="1286"/>
      <c r="F108" s="1286"/>
      <c r="G108" s="1287"/>
      <c r="H108" s="1283">
        <f>Cuestionario!G78</f>
        <v>4</v>
      </c>
      <c r="I108" s="1286"/>
      <c r="J108" s="1287"/>
      <c r="K108" s="898"/>
    </row>
    <row r="109" spans="1:16" s="168" customFormat="1" ht="12" customHeight="1">
      <c r="A109" s="984"/>
      <c r="B109" s="858"/>
      <c r="C109" s="898"/>
      <c r="D109" s="898"/>
      <c r="E109" s="898"/>
      <c r="F109" s="898"/>
      <c r="G109" s="898"/>
      <c r="H109" s="898"/>
      <c r="I109" s="898"/>
      <c r="J109" s="898"/>
      <c r="K109" s="898"/>
    </row>
    <row r="110" spans="1:16" s="168" customFormat="1" ht="18.75" customHeight="1">
      <c r="A110" s="1277"/>
      <c r="B110" s="982"/>
      <c r="C110" s="935" t="s">
        <v>671</v>
      </c>
      <c r="D110" s="935"/>
      <c r="E110" s="936">
        <f>+E93</f>
        <v>2021</v>
      </c>
      <c r="F110" s="936">
        <f>+F93</f>
        <v>2022</v>
      </c>
      <c r="G110" s="936">
        <f>+G93</f>
        <v>2023</v>
      </c>
      <c r="H110" s="1306" t="s">
        <v>635</v>
      </c>
      <c r="I110" s="1306"/>
      <c r="J110" s="1306"/>
      <c r="K110" s="1306"/>
    </row>
    <row r="111" spans="1:16" s="168" customFormat="1">
      <c r="A111" s="1277"/>
      <c r="B111" s="982"/>
      <c r="C111" s="901" t="s">
        <v>120</v>
      </c>
      <c r="D111" s="901"/>
      <c r="E111" s="902">
        <f>+E41</f>
        <v>0</v>
      </c>
      <c r="F111" s="902">
        <f>+G41</f>
        <v>0</v>
      </c>
      <c r="G111" s="903">
        <f>+I41</f>
        <v>0</v>
      </c>
      <c r="H111" s="1279" t="s">
        <v>46</v>
      </c>
      <c r="I111" s="1279"/>
      <c r="J111" s="1279"/>
      <c r="K111" s="1279"/>
    </row>
    <row r="112" spans="1:16" s="168" customFormat="1">
      <c r="A112" s="1277"/>
      <c r="B112" s="982"/>
      <c r="C112" s="904" t="s">
        <v>679</v>
      </c>
      <c r="D112" s="901"/>
      <c r="E112" s="905"/>
      <c r="F112" s="902">
        <f>+F111-E111</f>
        <v>0</v>
      </c>
      <c r="G112" s="902">
        <f>+G111-F111</f>
        <v>0</v>
      </c>
      <c r="H112" s="1279" t="s">
        <v>46</v>
      </c>
      <c r="I112" s="1279"/>
      <c r="J112" s="1279"/>
      <c r="K112" s="1279"/>
      <c r="O112" s="690"/>
      <c r="P112" s="690"/>
    </row>
    <row r="113" spans="1:17" s="168" customFormat="1">
      <c r="A113" s="1277"/>
      <c r="B113" s="982"/>
      <c r="C113" s="904" t="s">
        <v>680</v>
      </c>
      <c r="D113" s="901"/>
      <c r="E113" s="905"/>
      <c r="F113" s="906"/>
      <c r="G113" s="906" t="str">
        <f>IF(ISERROR(+(G112-F112)/F112),"",(+(G112-F112)/F112))</f>
        <v/>
      </c>
      <c r="H113" s="1308" t="s">
        <v>46</v>
      </c>
      <c r="I113" s="1308"/>
      <c r="J113" s="1308"/>
      <c r="K113" s="1308"/>
      <c r="O113" s="690"/>
      <c r="P113" s="690"/>
    </row>
    <row r="114" spans="1:17" s="168" customFormat="1">
      <c r="A114" s="1277"/>
      <c r="B114" s="982"/>
      <c r="C114" s="901" t="s">
        <v>681</v>
      </c>
      <c r="D114" s="901"/>
      <c r="E114" s="905" t="str">
        <f>+F45</f>
        <v/>
      </c>
      <c r="F114" s="905" t="str">
        <f>+H45</f>
        <v/>
      </c>
      <c r="G114" s="905" t="str">
        <f>+J45</f>
        <v/>
      </c>
      <c r="H114" s="1282" t="s">
        <v>46</v>
      </c>
      <c r="I114" s="1282"/>
      <c r="J114" s="1282"/>
      <c r="K114" s="1282"/>
      <c r="O114" s="690"/>
      <c r="P114" s="690"/>
    </row>
    <row r="115" spans="1:17" s="168" customFormat="1">
      <c r="A115" s="1277"/>
      <c r="B115" s="982"/>
      <c r="C115" s="901" t="s">
        <v>250</v>
      </c>
      <c r="D115" s="901"/>
      <c r="E115" s="902">
        <f ca="1">+Resultados!C27</f>
        <v>0</v>
      </c>
      <c r="F115" s="902">
        <f ca="1">+Resultados!E27</f>
        <v>0</v>
      </c>
      <c r="G115" s="902">
        <f ca="1">+Resultados!G27</f>
        <v>0</v>
      </c>
      <c r="H115" s="1279" t="s">
        <v>46</v>
      </c>
      <c r="I115" s="1279"/>
      <c r="J115" s="1279"/>
      <c r="K115" s="1279"/>
      <c r="O115" s="690"/>
      <c r="P115" s="690"/>
    </row>
    <row r="116" spans="1:17" s="168" customFormat="1">
      <c r="A116" s="1277"/>
      <c r="B116" s="982"/>
      <c r="C116" s="901" t="s">
        <v>675</v>
      </c>
      <c r="D116" s="901"/>
      <c r="E116" s="1307" t="str">
        <f>IF(ISERROR(+Catálogo!$E$6*'Resultado x Actividad'!$C$3+Catálogo!$E$7*'Resultado x Actividad'!$D$3+Catálogo!$E$8*'Resultado x Actividad'!$F$3+Catálogo!$E$9*'Resultado x Actividad'!$G$3+Catálogo!$E$10*'Resultado x Actividad'!$H$3),"",(+Catálogo!$E$6*'Resultado x Actividad'!$C$3+Catálogo!$E$7*'Resultado x Actividad'!$D$3+Catálogo!$E$8*'Resultado x Actividad'!$F$3+Catálogo!$E$9*'Resultado x Actividad'!$G$3+Catálogo!$E$10*'Resultado x Actividad'!$H$3))</f>
        <v/>
      </c>
      <c r="F116" s="1307"/>
      <c r="G116" s="1307"/>
      <c r="H116" s="1308" t="s">
        <v>46</v>
      </c>
      <c r="I116" s="1308"/>
      <c r="J116" s="1308"/>
      <c r="K116" s="1308"/>
      <c r="O116" s="689"/>
      <c r="P116" s="690"/>
    </row>
    <row r="117" spans="1:17" s="168" customFormat="1">
      <c r="A117" s="1277"/>
      <c r="B117" s="982"/>
      <c r="C117" s="901" t="s">
        <v>676</v>
      </c>
      <c r="D117" s="901"/>
      <c r="E117" s="1307" t="str">
        <f>IF(ISERROR(+Catálogo!$E$6*'Resultado x Actividad'!$C$3+Catálogo!$E$7*'Resultado x Actividad'!$D$3+Catálogo!$E$8*'Resultado x Actividad'!$F$3+Catálogo!$E$9*'Resultado x Actividad'!$G$3+Catálogo!$E$10*'Resultado x Actividad'!$H$3),"",(+Catálogo!$E$6*'Resultado x Actividad'!$C$3+Catálogo!$E$7*'Resultado x Actividad'!$D$3+Catálogo!$E$8*'Resultado x Actividad'!$F$3+Catálogo!$E$9*'Resultado x Actividad'!$G$3+Catálogo!$E$10*'Resultado x Actividad'!$H$3))</f>
        <v/>
      </c>
      <c r="F117" s="1307"/>
      <c r="G117" s="1307"/>
      <c r="H117" s="1282" t="s">
        <v>46</v>
      </c>
      <c r="I117" s="1282"/>
      <c r="J117" s="1282"/>
      <c r="K117" s="1282"/>
      <c r="O117" s="690"/>
      <c r="P117" s="690"/>
    </row>
    <row r="118" spans="1:17" s="168" customFormat="1">
      <c r="A118" s="1277"/>
      <c r="B118" s="982"/>
      <c r="C118" s="901" t="s">
        <v>672</v>
      </c>
      <c r="D118" s="975">
        <f>+G19+G20+G21</f>
        <v>0</v>
      </c>
      <c r="E118" s="1068">
        <f>+H22</f>
        <v>0</v>
      </c>
      <c r="F118" s="1068">
        <f>+I22</f>
        <v>0</v>
      </c>
      <c r="G118" s="1068">
        <f>+J22</f>
        <v>0</v>
      </c>
      <c r="H118" s="1308" t="s">
        <v>46</v>
      </c>
      <c r="I118" s="1308"/>
      <c r="J118" s="1308"/>
      <c r="K118" s="1308"/>
      <c r="N118" s="168" t="s">
        <v>46</v>
      </c>
      <c r="O118" s="690"/>
      <c r="P118" s="691"/>
      <c r="Q118" s="168" t="s">
        <v>46</v>
      </c>
    </row>
    <row r="119" spans="1:17" s="168" customFormat="1">
      <c r="A119" s="1277"/>
      <c r="B119" s="982"/>
      <c r="C119" s="901" t="s">
        <v>673</v>
      </c>
      <c r="D119" s="901"/>
      <c r="E119" s="1064" t="str">
        <f>IF(ISERROR(+E$41/E118),"",(+E$56/E118))</f>
        <v/>
      </c>
      <c r="F119" s="1064" t="str">
        <f>IF(ISERROR(+F$41/F118),"",(+F$56/F118))</f>
        <v/>
      </c>
      <c r="G119" s="1064" t="str">
        <f>IF(ISERROR(+G$41/G118),"",(+G$56/G118))</f>
        <v/>
      </c>
      <c r="H119" s="1282" t="s">
        <v>46</v>
      </c>
      <c r="I119" s="1282"/>
      <c r="J119" s="1282"/>
      <c r="K119" s="1282"/>
      <c r="O119" s="690"/>
      <c r="P119" s="690"/>
    </row>
    <row r="120" spans="1:17" s="168" customFormat="1">
      <c r="A120" s="1277"/>
      <c r="B120" s="982"/>
      <c r="C120" s="901" t="s">
        <v>674</v>
      </c>
      <c r="D120" s="901"/>
      <c r="E120" s="902">
        <f ca="1">+E72-E87</f>
        <v>0</v>
      </c>
      <c r="F120" s="902">
        <f ca="1">+F72-F87</f>
        <v>0</v>
      </c>
      <c r="G120" s="902">
        <f ca="1">+G72-G87</f>
        <v>0</v>
      </c>
      <c r="H120" s="1282" t="s">
        <v>46</v>
      </c>
      <c r="I120" s="1282"/>
      <c r="J120" s="1282"/>
      <c r="K120" s="1282"/>
      <c r="O120" s="690"/>
      <c r="P120" s="690"/>
    </row>
    <row r="121" spans="1:17" s="168" customFormat="1">
      <c r="A121" s="1277"/>
      <c r="B121" s="982"/>
      <c r="C121" s="901" t="s">
        <v>683</v>
      </c>
      <c r="D121" s="901" t="s">
        <v>684</v>
      </c>
      <c r="E121" s="907" t="str">
        <f ca="1">IF(ISERROR(+(E85+E87)/E78),"",(E85+E87)/E78)</f>
        <v/>
      </c>
      <c r="F121" s="907" t="str">
        <f ca="1">IF(ISERROR(+(F85+F87)/F78),"",(+(F85+F87)/F78))</f>
        <v/>
      </c>
      <c r="G121" s="907" t="str">
        <f ca="1">IF(ISERROR(+(G85+G87)/G78),"",(+(G85+G87)/G78))</f>
        <v/>
      </c>
      <c r="H121" s="1308" t="s">
        <v>46</v>
      </c>
      <c r="I121" s="1308"/>
      <c r="J121" s="1308"/>
      <c r="K121" s="1308"/>
    </row>
    <row r="122" spans="1:17" s="168" customFormat="1">
      <c r="A122" s="1277"/>
      <c r="B122" s="982"/>
      <c r="C122" s="892" t="s">
        <v>682</v>
      </c>
      <c r="D122" s="892"/>
      <c r="E122" s="892"/>
      <c r="F122" s="892"/>
      <c r="G122" s="892"/>
      <c r="H122" s="1282" t="s">
        <v>46</v>
      </c>
      <c r="I122" s="1282"/>
      <c r="J122" s="1282"/>
      <c r="K122" s="1282"/>
    </row>
    <row r="123" spans="1:17" s="168" customFormat="1">
      <c r="A123" s="1277"/>
      <c r="B123" s="982"/>
      <c r="C123" s="892" t="s">
        <v>463</v>
      </c>
      <c r="D123" s="892"/>
      <c r="E123" s="892"/>
      <c r="F123" s="892"/>
      <c r="G123" s="892"/>
      <c r="H123" s="1282" t="s">
        <v>46</v>
      </c>
      <c r="I123" s="1282"/>
      <c r="J123" s="1282"/>
      <c r="K123" s="1282"/>
    </row>
    <row r="124" spans="1:17" s="168" customFormat="1">
      <c r="A124" s="984" t="s">
        <v>904</v>
      </c>
      <c r="B124" s="858"/>
      <c r="C124" s="892"/>
      <c r="D124" s="892"/>
      <c r="E124" s="892"/>
      <c r="F124" s="892"/>
      <c r="G124" s="892"/>
      <c r="H124" s="892"/>
      <c r="I124" s="892"/>
      <c r="J124" s="892"/>
      <c r="K124" s="892"/>
    </row>
    <row r="125" spans="1:17" s="168" customFormat="1" ht="18.75" customHeight="1">
      <c r="A125" s="1277" t="s">
        <v>904</v>
      </c>
      <c r="B125" s="982"/>
      <c r="C125" s="1280" t="str">
        <f>IF(Cuestionario!J57="NO","- Asistir a la sesión Ayudas para Emprender","")</f>
        <v>- Asistir a la sesión Ayudas para Emprender</v>
      </c>
      <c r="D125" s="1280"/>
      <c r="E125" s="1280"/>
      <c r="F125" s="1280"/>
      <c r="G125" s="1280"/>
      <c r="H125" s="1280"/>
      <c r="I125" s="1280"/>
      <c r="J125" s="1280"/>
      <c r="K125" s="1280"/>
    </row>
    <row r="126" spans="1:17" s="168" customFormat="1" ht="18.75" customHeight="1">
      <c r="A126" s="1277"/>
      <c r="B126" s="982"/>
      <c r="C126" s="1281" t="str">
        <f>IF(Cuestionario!F33&gt;0,"- Solicitar cita asesoramiento a la contratación  ","")</f>
        <v/>
      </c>
      <c r="D126" s="1281"/>
      <c r="E126" s="1281"/>
      <c r="F126" s="1281"/>
      <c r="G126" s="1281"/>
      <c r="H126" s="1281"/>
      <c r="I126" s="1281"/>
      <c r="J126" s="1281"/>
      <c r="K126" s="1281"/>
    </row>
    <row r="127" spans="1:17" s="168" customFormat="1" ht="18.75" customHeight="1">
      <c r="A127" s="1277"/>
      <c r="B127" s="982"/>
      <c r="C127" s="1281" t="str">
        <f>IF(Cuestionario!J38="NO","- Solicitar cita asesoramiento legal, contratos mercantiles","")</f>
        <v/>
      </c>
      <c r="D127" s="1281"/>
      <c r="E127" s="1281"/>
      <c r="F127" s="1281"/>
      <c r="G127" s="1281"/>
      <c r="H127" s="1281"/>
      <c r="I127" s="1281"/>
      <c r="J127" s="1281"/>
      <c r="K127" s="1281"/>
    </row>
    <row r="128" spans="1:17" s="168" customFormat="1" ht="18.75" customHeight="1">
      <c r="A128" s="1277"/>
      <c r="B128" s="982"/>
      <c r="C128" s="1309" t="str">
        <f>IF(Cuestionario!J58="NO","- Solicitar cita asesoramiento legal analizar RGPD y/o patente/marcas","")</f>
        <v>- Solicitar cita asesoramiento legal analizar RGPD y/o patente/marcas</v>
      </c>
      <c r="D128" s="1309"/>
      <c r="E128" s="1309"/>
      <c r="F128" s="1309"/>
      <c r="G128" s="1309"/>
      <c r="H128" s="1309"/>
      <c r="I128" s="1309"/>
      <c r="J128" s="1309"/>
      <c r="K128" s="1309"/>
    </row>
    <row r="129" spans="1:11" s="168" customFormat="1" ht="18.75" customHeight="1">
      <c r="A129" s="1277"/>
      <c r="B129" s="982"/>
      <c r="C129" s="1309" t="str">
        <f>IF(OR(Cuestionario!J43="NO",Cuestionario!J53="NO"),"- Solicitar cita asesoramiento comercial","")</f>
        <v>- Solicitar cita asesoramiento comercial</v>
      </c>
      <c r="D129" s="1309"/>
      <c r="E129" s="1309"/>
      <c r="F129" s="1309"/>
      <c r="G129" s="1309"/>
      <c r="H129" s="1309"/>
      <c r="I129" s="1309"/>
      <c r="J129" s="1309"/>
      <c r="K129" s="1309"/>
    </row>
    <row r="130" spans="1:11" s="168" customFormat="1" ht="18.75" customHeight="1">
      <c r="A130" s="1277"/>
      <c r="B130" s="982"/>
      <c r="C130" s="1280" t="str">
        <f>IF(Cuestionario!J54&lt;10="Revisar ABC clientes",,"")</f>
        <v/>
      </c>
      <c r="D130" s="1280"/>
      <c r="E130" s="1280"/>
      <c r="F130" s="1280"/>
      <c r="G130" s="1280"/>
      <c r="H130" s="1280"/>
      <c r="I130" s="1280"/>
      <c r="J130" s="1280"/>
      <c r="K130" s="1280"/>
    </row>
    <row r="131" spans="1:11" s="168" customFormat="1" ht="18.75" customHeight="1">
      <c r="A131" s="1277"/>
      <c r="B131" s="982"/>
      <c r="C131" s="1281" t="str">
        <f>IF(Cuestionario!J26="NO","- Lista de posibles incidencias y plan de acción. Pedir cita asesoramiento para revisar","")</f>
        <v>- Lista de posibles incidencias y plan de acción. Pedir cita asesoramiento para revisar</v>
      </c>
      <c r="D131" s="1281"/>
      <c r="E131" s="1281"/>
      <c r="F131" s="1281"/>
      <c r="G131" s="1281"/>
      <c r="H131" s="1281"/>
      <c r="I131" s="1281"/>
      <c r="J131" s="1281"/>
      <c r="K131" s="1281"/>
    </row>
    <row r="132" spans="1:11" s="168" customFormat="1" ht="18.75" customHeight="1">
      <c r="A132" s="1277"/>
      <c r="B132" s="982"/>
      <c r="C132" s="1281" t="str">
        <f>IF(Cuestionario!J27="NO","- Realizar lista de los cuatro indicadores más importantes. Pedir cita para revisión posterior","")</f>
        <v>- Realizar lista de los cuatro indicadores más importantes. Pedir cita para revisión posterior</v>
      </c>
      <c r="D132" s="1281"/>
      <c r="E132" s="1281"/>
      <c r="F132" s="1281"/>
      <c r="G132" s="1281"/>
      <c r="H132" s="1281"/>
      <c r="I132" s="1281"/>
      <c r="J132" s="1281"/>
      <c r="K132" s="1281"/>
    </row>
    <row r="133" spans="1:11" s="168" customFormat="1" ht="18.75" customHeight="1">
      <c r="A133" s="1277"/>
      <c r="B133" s="982"/>
      <c r="C133" s="1309" t="str">
        <f ca="1">IF(Catálogo!I2&lt;E95/12,"- Saldo de tesorería ajustado, revisión detallada del plan de tesorería, búsqueda de financiación","")</f>
        <v/>
      </c>
      <c r="D133" s="1309"/>
      <c r="E133" s="1309"/>
      <c r="F133" s="1309"/>
      <c r="G133" s="1309"/>
      <c r="H133" s="1309"/>
      <c r="I133" s="1309"/>
      <c r="J133" s="1309"/>
      <c r="K133" s="1309"/>
    </row>
    <row r="134" spans="1:11" s="168" customFormat="1">
      <c r="A134" s="1277"/>
      <c r="B134" s="982"/>
      <c r="C134" s="1281" t="str">
        <f>IF(Cuestionario!J55="NO","- Cálculo de CAC y LTV. Pedir citar","")</f>
        <v>- Cálculo de CAC y LTV. Pedir citar</v>
      </c>
      <c r="D134" s="1281"/>
      <c r="E134" s="1281"/>
      <c r="F134" s="1281"/>
      <c r="G134" s="1281"/>
      <c r="H134" s="1281"/>
      <c r="I134" s="1281"/>
      <c r="J134" s="1281"/>
      <c r="K134" s="1281"/>
    </row>
    <row r="135" spans="1:11" s="168" customFormat="1">
      <c r="A135" s="1277"/>
      <c r="B135" s="982"/>
      <c r="C135" s="1281" t="str">
        <f>IF(Cuestionario!J28="NO","- Realizar Plan de innovación / digitalización. Pedir citar","")</f>
        <v>- Realizar Plan de innovación / digitalización. Pedir citar</v>
      </c>
      <c r="D135" s="1281"/>
      <c r="E135" s="1281"/>
      <c r="F135" s="1281"/>
      <c r="G135" s="1281"/>
      <c r="H135" s="1281"/>
      <c r="I135" s="1281"/>
      <c r="J135" s="1281"/>
      <c r="K135" s="1281"/>
    </row>
    <row r="136" spans="1:11" s="168" customFormat="1">
      <c r="A136" s="984"/>
      <c r="B136" s="858"/>
      <c r="C136" s="892"/>
      <c r="D136" s="892"/>
      <c r="E136" s="892"/>
      <c r="F136" s="892"/>
      <c r="G136" s="892"/>
      <c r="H136" s="892"/>
      <c r="I136" s="892"/>
      <c r="J136" s="892"/>
      <c r="K136" s="892"/>
    </row>
    <row r="137" spans="1:11" s="168" customFormat="1" ht="21">
      <c r="A137" s="984"/>
      <c r="B137" s="858"/>
      <c r="C137" s="922" t="s">
        <v>626</v>
      </c>
      <c r="D137" s="910" t="s">
        <v>627</v>
      </c>
      <c r="E137" s="1311" t="s">
        <v>628</v>
      </c>
      <c r="F137" s="1311"/>
      <c r="G137" s="1311"/>
      <c r="H137" s="1311"/>
      <c r="I137" s="1311"/>
      <c r="J137" s="1311"/>
      <c r="K137" s="1311"/>
    </row>
    <row r="138" spans="1:11" s="168" customFormat="1" ht="30">
      <c r="A138" s="984"/>
      <c r="B138" s="858"/>
      <c r="C138" s="859" t="s">
        <v>629</v>
      </c>
      <c r="D138" s="923" t="str">
        <f>IF(AND(Cuestionario!J82="NO",Cuestionario!J83="NO"),"Grado 3-4","ATENCIÓN!!!!!!!!, Posible Grado 1-2")</f>
        <v>Grado 3-4</v>
      </c>
      <c r="E138" s="1311"/>
      <c r="F138" s="1311"/>
      <c r="G138" s="1311"/>
      <c r="H138" s="1311"/>
      <c r="I138" s="1311"/>
      <c r="J138" s="1311"/>
      <c r="K138" s="1311"/>
    </row>
    <row r="139" spans="1:11" s="168" customFormat="1">
      <c r="A139" s="984"/>
      <c r="B139" s="858"/>
      <c r="C139" s="859"/>
      <c r="D139" s="672"/>
      <c r="E139" s="1312"/>
      <c r="F139" s="1312"/>
      <c r="G139" s="1312"/>
      <c r="H139" s="1312"/>
      <c r="I139" s="1312"/>
      <c r="J139" s="1312"/>
      <c r="K139" s="1312"/>
    </row>
    <row r="140" spans="1:11" s="168" customFormat="1" ht="18.75" customHeight="1">
      <c r="A140" s="1277" t="s">
        <v>905</v>
      </c>
      <c r="B140" s="982"/>
      <c r="C140" s="862" t="s">
        <v>389</v>
      </c>
      <c r="D140" s="972">
        <v>0</v>
      </c>
      <c r="E140" s="910">
        <v>1</v>
      </c>
      <c r="F140" s="910">
        <v>2</v>
      </c>
      <c r="G140" s="910">
        <v>3</v>
      </c>
      <c r="H140" s="910">
        <v>4</v>
      </c>
      <c r="I140" s="1317" t="s">
        <v>390</v>
      </c>
      <c r="J140" s="1317"/>
      <c r="K140" s="1317"/>
    </row>
    <row r="141" spans="1:11" s="168" customFormat="1" ht="30">
      <c r="A141" s="1277"/>
      <c r="B141" s="982"/>
      <c r="C141" s="931" t="s">
        <v>391</v>
      </c>
      <c r="D141" s="415"/>
      <c r="E141" s="860"/>
      <c r="F141" s="415"/>
      <c r="G141" s="860"/>
      <c r="H141" s="415"/>
      <c r="I141" s="1313"/>
      <c r="J141" s="1313"/>
      <c r="K141" s="1313"/>
    </row>
    <row r="142" spans="1:11" s="168" customFormat="1" ht="30">
      <c r="A142" s="1277"/>
      <c r="B142" s="982"/>
      <c r="C142" s="931" t="s">
        <v>392</v>
      </c>
      <c r="D142" s="415"/>
      <c r="E142" s="415"/>
      <c r="F142" s="415"/>
      <c r="G142" s="415"/>
      <c r="H142" s="415"/>
      <c r="I142" s="1313"/>
      <c r="J142" s="1313"/>
      <c r="K142" s="1313"/>
    </row>
    <row r="143" spans="1:11" s="168" customFormat="1" ht="30">
      <c r="A143" s="1277"/>
      <c r="B143" s="982"/>
      <c r="C143" s="931" t="s">
        <v>393</v>
      </c>
      <c r="D143" s="415"/>
      <c r="E143" s="415"/>
      <c r="F143" s="415"/>
      <c r="G143" s="415"/>
      <c r="H143" s="415"/>
      <c r="I143" s="1313"/>
      <c r="J143" s="1313"/>
      <c r="K143" s="1313"/>
    </row>
    <row r="144" spans="1:11" s="168" customFormat="1" ht="30">
      <c r="A144" s="1277"/>
      <c r="B144" s="982"/>
      <c r="C144" s="931" t="s">
        <v>394</v>
      </c>
      <c r="D144" s="415"/>
      <c r="E144" s="415"/>
      <c r="F144" s="415"/>
      <c r="G144" s="973"/>
      <c r="H144" s="973"/>
      <c r="I144" s="1313"/>
      <c r="J144" s="1313"/>
      <c r="K144" s="1313"/>
    </row>
    <row r="145" spans="1:15" s="168" customFormat="1" ht="30">
      <c r="A145" s="1277"/>
      <c r="B145" s="982"/>
      <c r="C145" s="931" t="s">
        <v>395</v>
      </c>
      <c r="D145" s="415"/>
      <c r="E145" s="415"/>
      <c r="F145" s="415"/>
      <c r="G145" s="973"/>
      <c r="H145" s="973"/>
      <c r="I145" s="1313"/>
      <c r="J145" s="1313"/>
      <c r="K145" s="1313"/>
      <c r="O145" s="168">
        <v>0</v>
      </c>
    </row>
    <row r="146" spans="1:15" s="168" customFormat="1" ht="30">
      <c r="A146" s="1277"/>
      <c r="B146" s="982"/>
      <c r="C146" s="931" t="s">
        <v>396</v>
      </c>
      <c r="D146" s="415"/>
      <c r="E146" s="415"/>
      <c r="F146" s="415"/>
      <c r="G146" s="973"/>
      <c r="H146" s="973"/>
      <c r="I146" s="1313"/>
      <c r="J146" s="1313"/>
      <c r="K146" s="1313"/>
    </row>
    <row r="147" spans="1:15" s="168" customFormat="1" ht="45">
      <c r="A147" s="1277"/>
      <c r="B147" s="982"/>
      <c r="C147" s="932" t="s">
        <v>397</v>
      </c>
      <c r="D147" s="924"/>
      <c r="E147" s="924"/>
      <c r="F147" s="924"/>
      <c r="G147" s="974"/>
      <c r="H147" s="974"/>
      <c r="I147" s="1314"/>
      <c r="J147" s="1314"/>
      <c r="K147" s="1314"/>
    </row>
    <row r="148" spans="1:15" s="168" customFormat="1">
      <c r="A148" s="1277"/>
      <c r="B148" s="982"/>
      <c r="C148" s="933" t="s">
        <v>398</v>
      </c>
      <c r="D148" s="925">
        <f>SUM(D141:D147)</f>
        <v>0</v>
      </c>
      <c r="E148" s="925">
        <f t="shared" ref="E148:K148" si="0">SUM(E141:E147)</f>
        <v>0</v>
      </c>
      <c r="F148" s="925">
        <f t="shared" si="0"/>
        <v>0</v>
      </c>
      <c r="G148" s="925">
        <f t="shared" si="0"/>
        <v>0</v>
      </c>
      <c r="H148" s="925">
        <f t="shared" si="0"/>
        <v>0</v>
      </c>
      <c r="I148" s="1315">
        <f>SUM(D148:H148)</f>
        <v>0</v>
      </c>
      <c r="J148" s="1315">
        <f t="shared" si="0"/>
        <v>0</v>
      </c>
      <c r="K148" s="1315">
        <f t="shared" si="0"/>
        <v>0</v>
      </c>
    </row>
    <row r="149" spans="1:15" s="168" customFormat="1" ht="69.75" customHeight="1">
      <c r="A149" s="1277"/>
      <c r="B149" s="982"/>
      <c r="C149" s="1316" t="s">
        <v>399</v>
      </c>
      <c r="D149" s="1316"/>
      <c r="E149" s="1316"/>
      <c r="F149" s="1316"/>
      <c r="G149" s="1316"/>
      <c r="H149" s="1316"/>
      <c r="I149" s="1316"/>
      <c r="J149" s="1316"/>
      <c r="K149" s="1316"/>
    </row>
    <row r="150" spans="1:15" s="168" customFormat="1">
      <c r="A150" s="984"/>
      <c r="B150" s="858"/>
      <c r="C150" s="862" t="s">
        <v>400</v>
      </c>
      <c r="D150" s="910">
        <v>0</v>
      </c>
      <c r="E150" s="910">
        <v>1</v>
      </c>
      <c r="F150" s="910">
        <v>2</v>
      </c>
      <c r="G150" s="910">
        <v>3</v>
      </c>
      <c r="H150" s="910">
        <v>4</v>
      </c>
      <c r="I150" s="1310" t="s">
        <v>401</v>
      </c>
      <c r="J150" s="1310"/>
      <c r="K150" s="1310"/>
    </row>
    <row r="151" spans="1:15" s="168" customFormat="1" ht="42.75" customHeight="1">
      <c r="A151" s="984"/>
      <c r="B151" s="858"/>
      <c r="C151" s="934" t="s">
        <v>391</v>
      </c>
      <c r="D151" s="926" t="s">
        <v>402</v>
      </c>
      <c r="E151" s="926"/>
      <c r="F151" s="926" t="s">
        <v>403</v>
      </c>
      <c r="G151" s="926"/>
      <c r="H151" s="926" t="s">
        <v>404</v>
      </c>
      <c r="I151" s="1301" t="s">
        <v>405</v>
      </c>
      <c r="J151" s="1301"/>
      <c r="K151" s="1301"/>
    </row>
    <row r="152" spans="1:15" s="168" customFormat="1" ht="42.75" customHeight="1">
      <c r="A152" s="984"/>
      <c r="B152" s="858"/>
      <c r="C152" s="934" t="s">
        <v>392</v>
      </c>
      <c r="D152" s="926" t="s">
        <v>406</v>
      </c>
      <c r="E152" s="926" t="s">
        <v>407</v>
      </c>
      <c r="F152" s="926" t="s">
        <v>408</v>
      </c>
      <c r="G152" s="926" t="s">
        <v>409</v>
      </c>
      <c r="H152" s="926" t="s">
        <v>410</v>
      </c>
      <c r="I152" s="1301" t="s">
        <v>411</v>
      </c>
      <c r="J152" s="1301"/>
      <c r="K152" s="1301"/>
    </row>
    <row r="153" spans="1:15" s="168" customFormat="1" ht="42.75" customHeight="1">
      <c r="A153" s="984"/>
      <c r="B153" s="858"/>
      <c r="C153" s="934" t="s">
        <v>393</v>
      </c>
      <c r="D153" s="926" t="s">
        <v>412</v>
      </c>
      <c r="E153" s="926" t="s">
        <v>413</v>
      </c>
      <c r="F153" s="926" t="s">
        <v>414</v>
      </c>
      <c r="G153" s="927"/>
      <c r="H153" s="926" t="s">
        <v>415</v>
      </c>
      <c r="I153" s="1301" t="s">
        <v>416</v>
      </c>
      <c r="J153" s="1301"/>
      <c r="K153" s="1301"/>
    </row>
    <row r="154" spans="1:15" s="168" customFormat="1" ht="42.75" customHeight="1">
      <c r="A154" s="984"/>
      <c r="B154" s="858"/>
      <c r="C154" s="934" t="s">
        <v>394</v>
      </c>
      <c r="D154" s="926" t="s">
        <v>417</v>
      </c>
      <c r="E154" s="926" t="s">
        <v>418</v>
      </c>
      <c r="F154" s="926" t="s">
        <v>419</v>
      </c>
      <c r="G154" s="926"/>
      <c r="H154" s="926"/>
      <c r="I154" s="1301" t="s">
        <v>420</v>
      </c>
      <c r="J154" s="1301"/>
      <c r="K154" s="1301"/>
    </row>
    <row r="155" spans="1:15" s="168" customFormat="1" ht="42.75" customHeight="1">
      <c r="A155" s="984"/>
      <c r="B155" s="858"/>
      <c r="C155" s="934" t="s">
        <v>395</v>
      </c>
      <c r="D155" s="926" t="s">
        <v>421</v>
      </c>
      <c r="E155" s="926" t="s">
        <v>422</v>
      </c>
      <c r="F155" s="926" t="s">
        <v>423</v>
      </c>
      <c r="G155" s="926"/>
      <c r="H155" s="926"/>
      <c r="I155" s="1301" t="s">
        <v>424</v>
      </c>
      <c r="J155" s="1301"/>
      <c r="K155" s="1301"/>
    </row>
    <row r="156" spans="1:15" s="168" customFormat="1" ht="42.75" customHeight="1">
      <c r="A156" s="984"/>
      <c r="B156" s="858"/>
      <c r="C156" s="934" t="s">
        <v>396</v>
      </c>
      <c r="D156" s="926" t="s">
        <v>425</v>
      </c>
      <c r="E156" s="926" t="s">
        <v>426</v>
      </c>
      <c r="F156" s="926" t="s">
        <v>427</v>
      </c>
      <c r="G156" s="926"/>
      <c r="H156" s="926"/>
      <c r="I156" s="1301" t="s">
        <v>428</v>
      </c>
      <c r="J156" s="1301"/>
      <c r="K156" s="1301"/>
    </row>
    <row r="157" spans="1:15" s="168" customFormat="1" ht="42.75" customHeight="1">
      <c r="A157" s="984"/>
      <c r="B157" s="858"/>
      <c r="C157" s="934" t="s">
        <v>397</v>
      </c>
      <c r="D157" s="926" t="s">
        <v>429</v>
      </c>
      <c r="E157" s="926" t="s">
        <v>430</v>
      </c>
      <c r="F157" s="926" t="s">
        <v>431</v>
      </c>
      <c r="G157" s="926"/>
      <c r="H157" s="926"/>
      <c r="I157" s="1301" t="s">
        <v>432</v>
      </c>
      <c r="J157" s="1301"/>
      <c r="K157" s="1301"/>
    </row>
    <row r="158" spans="1:15" s="168" customFormat="1">
      <c r="A158" s="984"/>
      <c r="B158" s="858"/>
      <c r="C158" s="892"/>
      <c r="D158" s="892"/>
      <c r="E158" s="892"/>
      <c r="F158" s="892"/>
      <c r="G158" s="892"/>
      <c r="H158" s="892"/>
      <c r="I158" s="892"/>
      <c r="J158" s="892"/>
      <c r="K158" s="892"/>
    </row>
    <row r="159" spans="1:15" s="168" customFormat="1">
      <c r="A159" s="984"/>
      <c r="B159" s="858"/>
      <c r="C159" s="892"/>
      <c r="D159" s="892"/>
      <c r="E159" s="892"/>
      <c r="F159" s="892"/>
      <c r="G159" s="892"/>
      <c r="H159" s="892"/>
      <c r="I159" s="892"/>
      <c r="J159" s="892"/>
      <c r="K159" s="892"/>
    </row>
    <row r="160" spans="1:15" s="168" customFormat="1">
      <c r="A160" s="984"/>
      <c r="B160" s="858"/>
      <c r="C160" s="892"/>
      <c r="D160" s="892"/>
      <c r="E160" s="892"/>
      <c r="F160" s="892"/>
      <c r="G160" s="892"/>
      <c r="H160" s="892"/>
      <c r="I160" s="892"/>
      <c r="J160" s="892"/>
      <c r="K160" s="892"/>
    </row>
    <row r="161" spans="1:11" s="168" customFormat="1">
      <c r="A161" s="984"/>
      <c r="B161" s="858"/>
      <c r="C161" s="892"/>
      <c r="D161" s="892"/>
      <c r="E161" s="892"/>
      <c r="F161" s="892"/>
      <c r="G161" s="892"/>
      <c r="H161" s="892"/>
      <c r="I161" s="892"/>
      <c r="J161" s="892"/>
      <c r="K161" s="892"/>
    </row>
    <row r="162" spans="1:11" s="168" customFormat="1">
      <c r="A162" s="984"/>
      <c r="B162" s="858"/>
      <c r="C162" s="892"/>
      <c r="D162" s="892"/>
      <c r="E162" s="892"/>
      <c r="F162" s="892"/>
      <c r="G162" s="892"/>
      <c r="H162" s="892"/>
      <c r="I162" s="892"/>
      <c r="J162" s="892"/>
      <c r="K162" s="892"/>
    </row>
    <row r="163" spans="1:11" s="168" customFormat="1">
      <c r="A163" s="984"/>
      <c r="B163" s="858"/>
      <c r="C163" s="892"/>
      <c r="D163" s="892"/>
      <c r="E163" s="892"/>
      <c r="F163" s="892"/>
      <c r="G163" s="892"/>
      <c r="H163" s="892"/>
      <c r="I163" s="892"/>
      <c r="J163" s="892"/>
      <c r="K163" s="892"/>
    </row>
    <row r="164" spans="1:11" s="168" customFormat="1">
      <c r="A164" s="984"/>
      <c r="B164" s="858"/>
      <c r="C164" s="892"/>
      <c r="D164" s="892"/>
      <c r="E164" s="892"/>
      <c r="F164" s="892"/>
      <c r="G164" s="892"/>
      <c r="H164" s="892"/>
      <c r="I164" s="892"/>
      <c r="J164" s="892"/>
      <c r="K164" s="892"/>
    </row>
    <row r="165" spans="1:11" s="168" customFormat="1">
      <c r="A165" s="984"/>
      <c r="B165" s="858"/>
      <c r="C165" s="892"/>
      <c r="D165" s="892"/>
      <c r="E165" s="892"/>
      <c r="F165" s="892"/>
      <c r="G165" s="892"/>
      <c r="H165" s="892"/>
      <c r="I165" s="892"/>
      <c r="J165" s="892"/>
      <c r="K165" s="892"/>
    </row>
    <row r="166" spans="1:11" s="168" customFormat="1">
      <c r="A166" s="984"/>
      <c r="B166" s="858"/>
      <c r="C166" s="892"/>
      <c r="D166" s="892"/>
      <c r="E166" s="892"/>
      <c r="F166" s="892"/>
      <c r="G166" s="892"/>
      <c r="H166" s="892"/>
      <c r="I166" s="892"/>
      <c r="J166" s="892"/>
      <c r="K166" s="892"/>
    </row>
    <row r="167" spans="1:11" s="168" customFormat="1">
      <c r="A167" s="984"/>
      <c r="B167" s="858"/>
      <c r="C167" s="892"/>
      <c r="D167" s="892"/>
      <c r="E167" s="892"/>
      <c r="F167" s="892"/>
      <c r="G167" s="892"/>
      <c r="H167" s="892"/>
      <c r="I167" s="892"/>
      <c r="J167" s="892"/>
      <c r="K167" s="892"/>
    </row>
    <row r="168" spans="1:11" s="168" customFormat="1">
      <c r="A168" s="984"/>
      <c r="B168" s="858"/>
      <c r="C168" s="892"/>
      <c r="D168" s="892"/>
      <c r="E168" s="892"/>
      <c r="F168" s="892"/>
      <c r="G168" s="892"/>
      <c r="H168" s="892"/>
      <c r="I168" s="892"/>
      <c r="J168" s="892"/>
      <c r="K168" s="892"/>
    </row>
    <row r="169" spans="1:11" s="168" customFormat="1">
      <c r="A169" s="984"/>
      <c r="B169" s="858"/>
      <c r="C169" s="892"/>
      <c r="D169" s="892"/>
      <c r="E169" s="892"/>
      <c r="F169" s="892"/>
      <c r="G169" s="892"/>
      <c r="H169" s="892"/>
      <c r="I169" s="892"/>
      <c r="J169" s="892"/>
      <c r="K169" s="892"/>
    </row>
    <row r="170" spans="1:11" s="168" customFormat="1">
      <c r="A170" s="984"/>
      <c r="B170" s="858"/>
      <c r="C170" s="892"/>
      <c r="D170" s="892"/>
      <c r="E170" s="892"/>
      <c r="F170" s="892"/>
      <c r="G170" s="892"/>
      <c r="H170" s="892"/>
      <c r="I170" s="892"/>
      <c r="J170" s="892"/>
      <c r="K170" s="892"/>
    </row>
    <row r="171" spans="1:11" s="168" customFormat="1">
      <c r="A171" s="984"/>
      <c r="B171" s="858"/>
      <c r="C171" s="892"/>
      <c r="D171" s="892"/>
      <c r="E171" s="892"/>
      <c r="F171" s="892"/>
      <c r="G171" s="892"/>
      <c r="H171" s="892"/>
      <c r="I171" s="892"/>
      <c r="J171" s="892"/>
      <c r="K171" s="892"/>
    </row>
    <row r="172" spans="1:11" s="168" customFormat="1">
      <c r="A172" s="984"/>
      <c r="B172" s="858"/>
      <c r="C172" s="892"/>
      <c r="D172" s="892"/>
      <c r="E172" s="892"/>
      <c r="F172" s="892"/>
      <c r="G172" s="892"/>
      <c r="H172" s="892"/>
      <c r="I172" s="892"/>
      <c r="J172" s="892"/>
      <c r="K172" s="892"/>
    </row>
    <row r="173" spans="1:11" s="168" customFormat="1">
      <c r="A173" s="984"/>
      <c r="B173" s="858"/>
      <c r="C173" s="892"/>
      <c r="D173" s="892"/>
      <c r="E173" s="892"/>
      <c r="F173" s="892"/>
      <c r="G173" s="892"/>
      <c r="H173" s="892"/>
      <c r="I173" s="892"/>
      <c r="J173" s="892"/>
      <c r="K173" s="892"/>
    </row>
    <row r="174" spans="1:11" s="168" customFormat="1">
      <c r="A174" s="984"/>
      <c r="B174" s="858"/>
      <c r="C174" s="892"/>
      <c r="D174" s="892"/>
      <c r="E174" s="892"/>
      <c r="F174" s="892"/>
      <c r="G174" s="892"/>
      <c r="H174" s="892"/>
      <c r="I174" s="892"/>
      <c r="J174" s="892"/>
      <c r="K174" s="892"/>
    </row>
    <row r="175" spans="1:11" s="168" customFormat="1">
      <c r="A175" s="984"/>
      <c r="B175" s="858"/>
      <c r="C175" s="892"/>
      <c r="D175" s="892"/>
      <c r="E175" s="892"/>
      <c r="F175" s="892"/>
      <c r="G175" s="892"/>
      <c r="H175" s="892"/>
      <c r="I175" s="892"/>
      <c r="J175" s="892"/>
      <c r="K175" s="892"/>
    </row>
    <row r="176" spans="1:11" s="168" customFormat="1">
      <c r="A176" s="984"/>
      <c r="B176" s="858"/>
      <c r="C176" s="892"/>
      <c r="D176" s="892"/>
      <c r="E176" s="892"/>
      <c r="F176" s="892"/>
      <c r="G176" s="892"/>
      <c r="H176" s="892"/>
      <c r="I176" s="892"/>
      <c r="J176" s="892"/>
      <c r="K176" s="892"/>
    </row>
    <row r="177" spans="1:11" s="168" customFormat="1">
      <c r="A177" s="984"/>
      <c r="B177" s="858"/>
      <c r="C177" s="892"/>
      <c r="D177" s="892"/>
      <c r="E177" s="892"/>
      <c r="F177" s="892"/>
      <c r="G177" s="892"/>
      <c r="H177" s="892"/>
      <c r="I177" s="892"/>
      <c r="J177" s="892"/>
      <c r="K177" s="892"/>
    </row>
    <row r="178" spans="1:11" s="168" customFormat="1">
      <c r="A178" s="984"/>
      <c r="B178" s="858"/>
      <c r="C178" s="892"/>
      <c r="D178" s="892"/>
      <c r="E178" s="892"/>
      <c r="F178" s="892"/>
      <c r="G178" s="892"/>
      <c r="H178" s="892"/>
      <c r="I178" s="892"/>
      <c r="J178" s="892"/>
      <c r="K178" s="892"/>
    </row>
    <row r="179" spans="1:11" s="168" customFormat="1">
      <c r="A179" s="984"/>
      <c r="B179" s="858"/>
      <c r="C179" s="892"/>
      <c r="D179" s="892"/>
      <c r="E179" s="892"/>
      <c r="F179" s="892"/>
      <c r="G179" s="892"/>
      <c r="H179" s="892"/>
      <c r="I179" s="892"/>
      <c r="J179" s="892"/>
      <c r="K179" s="892"/>
    </row>
    <row r="180" spans="1:11" s="168" customFormat="1">
      <c r="A180" s="984"/>
      <c r="B180" s="858"/>
      <c r="C180" s="892"/>
      <c r="D180" s="892"/>
      <c r="E180" s="892"/>
      <c r="F180" s="892"/>
      <c r="G180" s="892"/>
      <c r="H180" s="892"/>
      <c r="I180" s="892"/>
      <c r="J180" s="892"/>
      <c r="K180" s="892"/>
    </row>
    <row r="181" spans="1:11" s="168" customFormat="1">
      <c r="A181" s="984"/>
      <c r="B181" s="858"/>
      <c r="C181" s="892"/>
      <c r="D181" s="892"/>
      <c r="E181" s="892"/>
      <c r="F181" s="892"/>
      <c r="G181" s="892"/>
      <c r="H181" s="892"/>
      <c r="I181" s="892"/>
      <c r="J181" s="892"/>
      <c r="K181" s="892"/>
    </row>
    <row r="182" spans="1:11" s="168" customFormat="1">
      <c r="A182" s="984"/>
      <c r="B182" s="858"/>
      <c r="C182" s="892"/>
      <c r="D182" s="892"/>
      <c r="E182" s="892"/>
      <c r="F182" s="892"/>
      <c r="G182" s="892"/>
      <c r="H182" s="892"/>
      <c r="I182" s="892"/>
      <c r="J182" s="892"/>
      <c r="K182" s="892"/>
    </row>
    <row r="183" spans="1:11" s="168" customFormat="1">
      <c r="A183" s="984"/>
      <c r="B183" s="858"/>
      <c r="C183" s="892"/>
      <c r="D183" s="892"/>
      <c r="E183" s="892"/>
      <c r="F183" s="892"/>
      <c r="G183" s="892"/>
      <c r="H183" s="892"/>
      <c r="I183" s="892"/>
      <c r="J183" s="892"/>
      <c r="K183" s="892"/>
    </row>
    <row r="184" spans="1:11" s="168" customFormat="1">
      <c r="A184" s="984"/>
      <c r="B184" s="858"/>
      <c r="C184" s="892"/>
      <c r="D184" s="892"/>
      <c r="E184" s="892"/>
      <c r="F184" s="892"/>
      <c r="G184" s="892"/>
      <c r="H184" s="892"/>
      <c r="I184" s="892"/>
      <c r="J184" s="892"/>
      <c r="K184" s="892"/>
    </row>
    <row r="185" spans="1:11" s="168" customFormat="1">
      <c r="A185" s="984"/>
      <c r="B185" s="858"/>
      <c r="C185" s="892"/>
      <c r="D185" s="892"/>
      <c r="E185" s="892"/>
      <c r="F185" s="892"/>
      <c r="G185" s="892"/>
      <c r="H185" s="892"/>
      <c r="I185" s="892"/>
      <c r="J185" s="892"/>
      <c r="K185" s="892"/>
    </row>
    <row r="186" spans="1:11" s="168" customFormat="1">
      <c r="A186" s="984"/>
      <c r="B186" s="858"/>
      <c r="C186" s="892"/>
      <c r="D186" s="892"/>
      <c r="E186" s="892"/>
      <c r="F186" s="892"/>
      <c r="G186" s="892"/>
      <c r="H186" s="892"/>
      <c r="I186" s="892"/>
      <c r="J186" s="892"/>
      <c r="K186" s="892"/>
    </row>
    <row r="187" spans="1:11" s="168" customFormat="1">
      <c r="A187" s="984"/>
      <c r="B187" s="858"/>
      <c r="C187" s="892"/>
      <c r="D187" s="892"/>
      <c r="E187" s="892"/>
      <c r="F187" s="892"/>
      <c r="G187" s="892"/>
      <c r="H187" s="892"/>
      <c r="I187" s="892"/>
      <c r="J187" s="892"/>
      <c r="K187" s="892"/>
    </row>
    <row r="188" spans="1:11" s="168" customFormat="1">
      <c r="A188" s="984"/>
      <c r="B188" s="858"/>
      <c r="C188" s="892"/>
      <c r="D188" s="892"/>
      <c r="E188" s="892"/>
      <c r="F188" s="892"/>
      <c r="G188" s="892"/>
      <c r="H188" s="892"/>
      <c r="I188" s="892"/>
      <c r="J188" s="892"/>
      <c r="K188" s="892"/>
    </row>
    <row r="189" spans="1:11" s="168" customFormat="1">
      <c r="A189" s="984"/>
      <c r="B189" s="858"/>
      <c r="C189" s="892"/>
      <c r="D189" s="892"/>
      <c r="E189" s="892"/>
      <c r="F189" s="892"/>
      <c r="G189" s="892"/>
      <c r="H189" s="892"/>
      <c r="I189" s="892"/>
      <c r="J189" s="892"/>
      <c r="K189" s="892"/>
    </row>
    <row r="190" spans="1:11" s="168" customFormat="1">
      <c r="A190" s="984"/>
      <c r="B190" s="858"/>
      <c r="C190" s="892"/>
      <c r="D190" s="892"/>
      <c r="E190" s="892"/>
      <c r="F190" s="892"/>
      <c r="G190" s="892"/>
      <c r="H190" s="892"/>
      <c r="I190" s="892"/>
      <c r="J190" s="892"/>
      <c r="K190" s="892"/>
    </row>
    <row r="191" spans="1:11" s="168" customFormat="1">
      <c r="A191" s="984"/>
      <c r="B191" s="858"/>
      <c r="C191" s="892"/>
      <c r="D191" s="892"/>
      <c r="E191" s="892"/>
      <c r="F191" s="892"/>
      <c r="G191" s="892"/>
      <c r="H191" s="892"/>
      <c r="I191" s="892"/>
      <c r="J191" s="892"/>
      <c r="K191" s="892"/>
    </row>
    <row r="192" spans="1:11" s="168" customFormat="1">
      <c r="A192" s="984"/>
      <c r="B192" s="858"/>
      <c r="C192" s="892"/>
      <c r="D192" s="892"/>
      <c r="E192" s="892"/>
      <c r="F192" s="892"/>
      <c r="G192" s="892"/>
      <c r="H192" s="892"/>
      <c r="I192" s="892"/>
      <c r="J192" s="892"/>
      <c r="K192" s="892"/>
    </row>
    <row r="193" spans="1:11" s="168" customFormat="1">
      <c r="A193" s="984"/>
      <c r="B193" s="858"/>
      <c r="C193" s="892"/>
      <c r="D193" s="892"/>
      <c r="E193" s="892"/>
      <c r="F193" s="892"/>
      <c r="G193" s="892"/>
      <c r="H193" s="892"/>
      <c r="I193" s="892"/>
      <c r="J193" s="892"/>
      <c r="K193" s="892"/>
    </row>
    <row r="194" spans="1:11" s="168" customFormat="1">
      <c r="A194" s="984"/>
      <c r="B194" s="858"/>
      <c r="C194" s="892"/>
      <c r="D194" s="892"/>
      <c r="E194" s="892"/>
      <c r="F194" s="892"/>
      <c r="G194" s="892"/>
      <c r="H194" s="892"/>
      <c r="I194" s="892"/>
      <c r="J194" s="892"/>
      <c r="K194" s="892"/>
    </row>
    <row r="195" spans="1:11" s="168" customFormat="1">
      <c r="A195" s="984"/>
      <c r="B195" s="858"/>
      <c r="C195" s="892"/>
      <c r="D195" s="892"/>
      <c r="E195" s="892"/>
      <c r="F195" s="892"/>
      <c r="G195" s="892"/>
      <c r="H195" s="892"/>
      <c r="I195" s="892"/>
      <c r="J195" s="892"/>
      <c r="K195" s="892"/>
    </row>
    <row r="196" spans="1:11" s="168" customFormat="1">
      <c r="A196" s="984"/>
      <c r="B196" s="858"/>
      <c r="C196" s="892"/>
      <c r="D196" s="892"/>
      <c r="E196" s="892"/>
      <c r="F196" s="892"/>
      <c r="G196" s="892"/>
      <c r="H196" s="892"/>
      <c r="I196" s="892"/>
      <c r="J196" s="892"/>
      <c r="K196" s="892"/>
    </row>
  </sheetData>
  <mergeCells count="109">
    <mergeCell ref="H118:K118"/>
    <mergeCell ref="H112:K112"/>
    <mergeCell ref="H113:K113"/>
    <mergeCell ref="E31:K31"/>
    <mergeCell ref="E34:K34"/>
    <mergeCell ref="C93:D93"/>
    <mergeCell ref="C34:D34"/>
    <mergeCell ref="C37:D37"/>
    <mergeCell ref="C31:D31"/>
    <mergeCell ref="C39:D39"/>
    <mergeCell ref="E37:K37"/>
    <mergeCell ref="H111:K111"/>
    <mergeCell ref="H114:K114"/>
    <mergeCell ref="C30:D30"/>
    <mergeCell ref="I154:K154"/>
    <mergeCell ref="I157:K157"/>
    <mergeCell ref="I150:K150"/>
    <mergeCell ref="E137:K138"/>
    <mergeCell ref="E139:K139"/>
    <mergeCell ref="I156:K156"/>
    <mergeCell ref="I155:K155"/>
    <mergeCell ref="C132:K132"/>
    <mergeCell ref="I145:K145"/>
    <mergeCell ref="I146:K146"/>
    <mergeCell ref="I147:K147"/>
    <mergeCell ref="I148:K148"/>
    <mergeCell ref="C149:K149"/>
    <mergeCell ref="C133:K133"/>
    <mergeCell ref="C134:K134"/>
    <mergeCell ref="C135:K135"/>
    <mergeCell ref="I140:K140"/>
    <mergeCell ref="I141:K141"/>
    <mergeCell ref="I142:K142"/>
    <mergeCell ref="I143:K143"/>
    <mergeCell ref="I144:K144"/>
    <mergeCell ref="H121:K121"/>
    <mergeCell ref="I151:K151"/>
    <mergeCell ref="I152:K152"/>
    <mergeCell ref="H105:J105"/>
    <mergeCell ref="D104:G104"/>
    <mergeCell ref="H104:I104"/>
    <mergeCell ref="D105:G105"/>
    <mergeCell ref="I153:K153"/>
    <mergeCell ref="C35:D35"/>
    <mergeCell ref="H108:J108"/>
    <mergeCell ref="H107:J107"/>
    <mergeCell ref="H122:K122"/>
    <mergeCell ref="D107:G107"/>
    <mergeCell ref="D108:G108"/>
    <mergeCell ref="H110:K110"/>
    <mergeCell ref="C36:D36"/>
    <mergeCell ref="E36:K36"/>
    <mergeCell ref="E116:G116"/>
    <mergeCell ref="E117:G117"/>
    <mergeCell ref="C130:K130"/>
    <mergeCell ref="H116:K116"/>
    <mergeCell ref="H117:K117"/>
    <mergeCell ref="H119:K119"/>
    <mergeCell ref="C128:K128"/>
    <mergeCell ref="C129:K129"/>
    <mergeCell ref="H120:K120"/>
    <mergeCell ref="D3:E3"/>
    <mergeCell ref="H2:I2"/>
    <mergeCell ref="A10:A24"/>
    <mergeCell ref="C1:G2"/>
    <mergeCell ref="A26:A37"/>
    <mergeCell ref="E32:K32"/>
    <mergeCell ref="C32:D32"/>
    <mergeCell ref="C18:D18"/>
    <mergeCell ref="C19:D19"/>
    <mergeCell ref="C20:D20"/>
    <mergeCell ref="C21:D21"/>
    <mergeCell ref="E26:K26"/>
    <mergeCell ref="E27:K27"/>
    <mergeCell ref="E28:K28"/>
    <mergeCell ref="C29:D29"/>
    <mergeCell ref="E35:K35"/>
    <mergeCell ref="H3:I3"/>
    <mergeCell ref="H1:I1"/>
    <mergeCell ref="E33:K33"/>
    <mergeCell ref="C16:D16"/>
    <mergeCell ref="E16:K16"/>
    <mergeCell ref="A5:K5"/>
    <mergeCell ref="A7:K7"/>
    <mergeCell ref="A8:K8"/>
    <mergeCell ref="A6:K6"/>
    <mergeCell ref="A140:A149"/>
    <mergeCell ref="A110:A123"/>
    <mergeCell ref="A39:A64"/>
    <mergeCell ref="A66:A91"/>
    <mergeCell ref="A93:A102"/>
    <mergeCell ref="A104:A108"/>
    <mergeCell ref="H115:K115"/>
    <mergeCell ref="A125:A135"/>
    <mergeCell ref="C125:K125"/>
    <mergeCell ref="C126:K126"/>
    <mergeCell ref="C127:K127"/>
    <mergeCell ref="H123:K123"/>
    <mergeCell ref="D106:G106"/>
    <mergeCell ref="H106:J106"/>
    <mergeCell ref="C26:D26"/>
    <mergeCell ref="C27:D27"/>
    <mergeCell ref="C28:D28"/>
    <mergeCell ref="E29:K29"/>
    <mergeCell ref="C33:D33"/>
    <mergeCell ref="C131:K131"/>
    <mergeCell ref="C24:D24"/>
    <mergeCell ref="E24:K24"/>
    <mergeCell ref="E30:K30"/>
  </mergeCells>
  <conditionalFormatting sqref="C124:K124 C110:I110 H2 J2:K2 H3:J3 E19:E22 F18:I22 K20:K22 C136:K139 C141:K1048576 C140 E140:K140 C9:K17 C111:G115 C23:K103 C120:G123 C116:D119 A5:A6 A8">
    <cfRule type="cellIs" dxfId="239" priority="75" operator="equal">
      <formula>0</formula>
    </cfRule>
  </conditionalFormatting>
  <conditionalFormatting sqref="C96">
    <cfRule type="cellIs" dxfId="238" priority="67" operator="equal">
      <formula>0</formula>
    </cfRule>
  </conditionalFormatting>
  <conditionalFormatting sqref="C96">
    <cfRule type="cellIs" dxfId="237" priority="66" operator="equal">
      <formula>0</formula>
    </cfRule>
  </conditionalFormatting>
  <conditionalFormatting sqref="C4:K4 C3:D3 C1 H1:K1">
    <cfRule type="cellIs" dxfId="236" priority="63" operator="equal">
      <formula>0</formula>
    </cfRule>
  </conditionalFormatting>
  <conditionalFormatting sqref="D138">
    <cfRule type="cellIs" dxfId="235" priority="58" operator="equal">
      <formula>"ATENCIÓN!!!!!!!!, Posible Grado 1-2"</formula>
    </cfRule>
  </conditionalFormatting>
  <conditionalFormatting sqref="C125">
    <cfRule type="cellIs" dxfId="234" priority="38" operator="equal">
      <formula>0</formula>
    </cfRule>
  </conditionalFormatting>
  <conditionalFormatting sqref="H111:H113">
    <cfRule type="cellIs" dxfId="233" priority="44" operator="equal">
      <formula>0</formula>
    </cfRule>
  </conditionalFormatting>
  <conditionalFormatting sqref="C126:C127 C131:C132">
    <cfRule type="cellIs" dxfId="232" priority="37" operator="equal">
      <formula>0</formula>
    </cfRule>
  </conditionalFormatting>
  <conditionalFormatting sqref="C128">
    <cfRule type="cellIs" dxfId="231" priority="36" operator="equal">
      <formula>0</formula>
    </cfRule>
  </conditionalFormatting>
  <conditionalFormatting sqref="C133">
    <cfRule type="cellIs" dxfId="230" priority="34" operator="equal">
      <formula>0</formula>
    </cfRule>
  </conditionalFormatting>
  <conditionalFormatting sqref="C19:D22">
    <cfRule type="cellIs" dxfId="229" priority="31" operator="equal">
      <formula>0</formula>
    </cfRule>
  </conditionalFormatting>
  <conditionalFormatting sqref="E18">
    <cfRule type="cellIs" dxfId="228" priority="30" operator="equal">
      <formula>0</formula>
    </cfRule>
  </conditionalFormatting>
  <conditionalFormatting sqref="C18:D18">
    <cfRule type="cellIs" dxfId="227" priority="29" operator="equal">
      <formula>0</formula>
    </cfRule>
  </conditionalFormatting>
  <conditionalFormatting sqref="H120">
    <cfRule type="cellIs" dxfId="226" priority="21" operator="equal">
      <formula>0</formula>
    </cfRule>
  </conditionalFormatting>
  <conditionalFormatting sqref="H119">
    <cfRule type="cellIs" dxfId="225" priority="20" operator="equal">
      <formula>0</formula>
    </cfRule>
  </conditionalFormatting>
  <conditionalFormatting sqref="H118">
    <cfRule type="cellIs" dxfId="224" priority="19" operator="equal">
      <formula>0</formula>
    </cfRule>
  </conditionalFormatting>
  <conditionalFormatting sqref="H114:H117 H123">
    <cfRule type="cellIs" dxfId="223" priority="24" operator="equal">
      <formula>0</formula>
    </cfRule>
  </conditionalFormatting>
  <conditionalFormatting sqref="H122">
    <cfRule type="cellIs" dxfId="222" priority="23" operator="equal">
      <formula>0</formula>
    </cfRule>
  </conditionalFormatting>
  <conditionalFormatting sqref="H121">
    <cfRule type="cellIs" dxfId="221" priority="22" operator="equal">
      <formula>0</formula>
    </cfRule>
  </conditionalFormatting>
  <conditionalFormatting sqref="J18">
    <cfRule type="cellIs" dxfId="220" priority="18" operator="equal">
      <formula>0</formula>
    </cfRule>
  </conditionalFormatting>
  <conditionalFormatting sqref="E116">
    <cfRule type="cellIs" dxfId="219" priority="8" operator="equal">
      <formula>0</formula>
    </cfRule>
  </conditionalFormatting>
  <conditionalFormatting sqref="E117">
    <cfRule type="cellIs" dxfId="218" priority="12" operator="equal">
      <formula>0</formula>
    </cfRule>
  </conditionalFormatting>
  <conditionalFormatting sqref="E118:G119">
    <cfRule type="cellIs" dxfId="217" priority="9" operator="equal">
      <formula>0</formula>
    </cfRule>
  </conditionalFormatting>
  <conditionalFormatting sqref="C129">
    <cfRule type="cellIs" dxfId="216" priority="4" operator="equal">
      <formula>0</formula>
    </cfRule>
  </conditionalFormatting>
  <conditionalFormatting sqref="C130">
    <cfRule type="cellIs" dxfId="215" priority="5" operator="equal">
      <formula>0</formula>
    </cfRule>
  </conditionalFormatting>
  <conditionalFormatting sqref="C135">
    <cfRule type="cellIs" dxfId="214" priority="2" operator="equal">
      <formula>0</formula>
    </cfRule>
  </conditionalFormatting>
  <conditionalFormatting sqref="C134">
    <cfRule type="cellIs" dxfId="213" priority="3" operator="equal">
      <formula>0</formula>
    </cfRule>
  </conditionalFormatting>
  <conditionalFormatting sqref="A7">
    <cfRule type="cellIs" dxfId="212" priority="1" operator="equal">
      <formula>0</formula>
    </cfRule>
  </conditionalFormatting>
  <dataValidations disablePrompts="1" count="5">
    <dataValidation type="whole" allowBlank="1" showInputMessage="1" showErrorMessage="1" promptTitle="Indicar puntuación 2" prompt="Indicar únicamente si hay puntuación" sqref="F141:F147" xr:uid="{00000000-0002-0000-1200-000000000000}">
      <formula1>2</formula1>
      <formula2>2</formula2>
    </dataValidation>
    <dataValidation allowBlank="1" showInputMessage="1" showErrorMessage="1" prompt="Elementos, recursos de energía, habilidades y actitudes que la empresa tiene y que constituyen barreras para lograr la buena marcha de la organización. Ejemplo: Falta dirección estratégica clara.Incapacidad de financiación.Falta habilidades clave.Costes _x000a_" sqref="D106:G106" xr:uid="{00000000-0002-0000-1200-000001000000}"/>
    <dataValidation allowBlank="1" showInputMessage="1" showErrorMessage="1" prompt="Qué atributos permiten generar una ventaja competitiva sobre el resto de sus competidores._x000a_Por ejemplo: Horario amplio, trato, actitud, locales amplios y cómodos. Variedad de productos. Atención personalizada _x000a_" sqref="D108:G108" xr:uid="{00000000-0002-0000-1200-000002000000}"/>
    <dataValidation allowBlank="1" showInputMessage="1" showErrorMessage="1" prompt="Situaciones negativas, externas al proyecto, que pueden atentar contra la empresa._x000a_Obstáculos se enfrenta_x000a_Qué están haciendo los competidores_x000a_Problemas de recursos de capital_x000a_" sqref="H106" xr:uid="{00000000-0002-0000-1200-000003000000}"/>
    <dataValidation allowBlank="1" showInputMessage="1" showErrorMessage="1" prompt="Factores positivos que se generan en el entorno y quepueden ser aprovechados. Circunstancias que mejoran la situación empresa_x000a_Tendencias del mercado _x000a_Coyuntura economica del país_x000a_Cambios legal y/o políticos_x000a_Patrones sociales estilos de vida_x000a__x000a_" sqref="H108" xr:uid="{00000000-0002-0000-1200-000004000000}"/>
  </dataValidations>
  <printOptions horizontalCentered="1"/>
  <pageMargins left="0.70866141732283472" right="0.70866141732283472" top="1.1417322834645669" bottom="0.74803149606299213" header="0.31496062992125984" footer="0.31496062992125984"/>
  <pageSetup paperSize="9" scale="67" fitToHeight="0" orientation="portrait" r:id="rId1"/>
  <headerFooter>
    <oddHeader xml:space="preserve">&amp;L&amp;G&amp;C&amp;"-,Negrita"&amp;18Resumen Proyecto&amp;R&amp;8Herramienta desarrollada por
&amp;G  PROCORNELLÀ </oddHeader>
    <oddFooter>&amp;L&amp;"-,Negrita"&amp;14&amp;F]&amp;C&amp;D&amp;R&amp;14&amp;P/&amp;N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37">
    <tabColor rgb="FFC00000"/>
  </sheetPr>
  <dimension ref="A1:V162"/>
  <sheetViews>
    <sheetView zoomScaleNormal="100" zoomScaleSheetLayoutView="100" workbookViewId="0"/>
  </sheetViews>
  <sheetFormatPr baseColWidth="10" defaultColWidth="11.42578125" defaultRowHeight="18.75"/>
  <cols>
    <col min="1" max="1" width="2.85546875" style="984" customWidth="1"/>
    <col min="2" max="2" width="1" style="858" customWidth="1"/>
    <col min="3" max="3" width="26.7109375" style="908" customWidth="1"/>
    <col min="4" max="4" width="12.7109375" style="908" customWidth="1"/>
    <col min="5" max="5" width="11.7109375" style="908" customWidth="1"/>
    <col min="6" max="6" width="10.140625" style="908" customWidth="1"/>
    <col min="7" max="7" width="10.7109375" style="908" customWidth="1"/>
    <col min="8" max="8" width="13.140625" style="908" customWidth="1"/>
    <col min="9" max="9" width="12.28515625" style="908" customWidth="1"/>
    <col min="10" max="10" width="10.7109375" style="908" customWidth="1"/>
    <col min="11" max="11" width="16.85546875" style="908" customWidth="1"/>
    <col min="12" max="12" width="4.7109375" style="989" customWidth="1"/>
    <col min="13" max="13" width="6.7109375" style="117" customWidth="1"/>
    <col min="14" max="14" width="9.5703125" style="117" customWidth="1"/>
    <col min="15" max="16384" width="11.42578125" style="117"/>
  </cols>
  <sheetData>
    <row r="1" spans="1:12" s="168" customFormat="1" ht="30" customHeight="1">
      <c r="A1" s="984"/>
      <c r="B1" s="858"/>
      <c r="C1" s="1293">
        <f>+Cuestionario!C5</f>
        <v>0</v>
      </c>
      <c r="D1" s="1294"/>
      <c r="E1" s="1294"/>
      <c r="F1" s="1294"/>
      <c r="G1" s="1294"/>
      <c r="H1" s="1292" t="s">
        <v>252</v>
      </c>
      <c r="I1" s="1292"/>
      <c r="J1" s="911" t="str">
        <f>+Cuestionario!I5</f>
        <v>S.L.</v>
      </c>
      <c r="K1" s="852"/>
      <c r="L1" s="988"/>
    </row>
    <row r="2" spans="1:12" s="168" customFormat="1" ht="18.75" customHeight="1">
      <c r="A2" s="984"/>
      <c r="B2" s="858"/>
      <c r="C2" s="1294"/>
      <c r="D2" s="1294"/>
      <c r="E2" s="1294"/>
      <c r="F2" s="1294"/>
      <c r="G2" s="1294"/>
      <c r="H2" s="1292" t="s">
        <v>349</v>
      </c>
      <c r="I2" s="1292"/>
      <c r="J2" s="912">
        <f>+Cuestionario!I11</f>
        <v>0</v>
      </c>
      <c r="K2" s="863"/>
      <c r="L2" s="989"/>
    </row>
    <row r="3" spans="1:12" s="168" customFormat="1" ht="18.75" customHeight="1">
      <c r="A3" s="984"/>
      <c r="B3" s="858"/>
      <c r="C3" s="862" t="s">
        <v>670</v>
      </c>
      <c r="D3" s="1291" t="str">
        <f>+Cuestionario!C9</f>
        <v>Renovación ubicación</v>
      </c>
      <c r="E3" s="1291"/>
      <c r="F3" s="909"/>
      <c r="G3" s="909"/>
      <c r="H3" s="1292" t="s">
        <v>361</v>
      </c>
      <c r="I3" s="1292"/>
      <c r="J3" s="913">
        <f>+Cuestionario!C11</f>
        <v>44197</v>
      </c>
      <c r="K3" s="909"/>
      <c r="L3" s="989"/>
    </row>
    <row r="4" spans="1:12" s="168" customFormat="1" ht="7.5" customHeight="1">
      <c r="A4" s="984"/>
      <c r="B4" s="858"/>
      <c r="C4" s="861"/>
      <c r="D4" s="861"/>
      <c r="E4" s="853"/>
      <c r="F4" s="853"/>
      <c r="G4" s="853"/>
      <c r="H4" s="861"/>
      <c r="I4" s="861"/>
      <c r="J4" s="861"/>
      <c r="K4" s="861"/>
      <c r="L4" s="989"/>
    </row>
    <row r="5" spans="1:12" s="168" customFormat="1">
      <c r="A5" s="1297" t="s">
        <v>350</v>
      </c>
      <c r="B5" s="1297"/>
      <c r="C5" s="1297"/>
      <c r="D5" s="1297"/>
      <c r="E5" s="1297"/>
      <c r="F5" s="1297"/>
      <c r="G5" s="1297"/>
      <c r="H5" s="1297"/>
      <c r="I5" s="1297"/>
      <c r="J5" s="1297"/>
      <c r="K5" s="1297"/>
      <c r="L5" s="1297"/>
    </row>
    <row r="6" spans="1:12" s="168" customFormat="1" ht="63" customHeight="1">
      <c r="A6" s="1319">
        <f>+Cuestionario!C13</f>
        <v>0</v>
      </c>
      <c r="B6" s="1320"/>
      <c r="C6" s="1320"/>
      <c r="D6" s="1320"/>
      <c r="E6" s="1320"/>
      <c r="F6" s="1320"/>
      <c r="G6" s="1320"/>
      <c r="H6" s="1320"/>
      <c r="I6" s="1320"/>
      <c r="J6" s="1320"/>
      <c r="K6" s="1321"/>
      <c r="L6" s="1105" t="str">
        <f>+Cuestionario!K13</f>
        <v>NO</v>
      </c>
    </row>
    <row r="7" spans="1:12" s="168" customFormat="1">
      <c r="A7" s="1297" t="s">
        <v>898</v>
      </c>
      <c r="B7" s="1297"/>
      <c r="C7" s="1297"/>
      <c r="D7" s="1297"/>
      <c r="E7" s="1297"/>
      <c r="F7" s="1297"/>
      <c r="G7" s="1297"/>
      <c r="H7" s="1297"/>
      <c r="I7" s="1297"/>
      <c r="J7" s="1297"/>
      <c r="K7" s="1297"/>
      <c r="L7" s="1297"/>
    </row>
    <row r="8" spans="1:12" s="168" customFormat="1" ht="63" customHeight="1">
      <c r="A8" s="1319">
        <f>+Cuestionario!C14</f>
        <v>0</v>
      </c>
      <c r="B8" s="1320"/>
      <c r="C8" s="1320"/>
      <c r="D8" s="1320"/>
      <c r="E8" s="1320"/>
      <c r="F8" s="1320"/>
      <c r="G8" s="1320"/>
      <c r="H8" s="1320"/>
      <c r="I8" s="1320"/>
      <c r="J8" s="1320"/>
      <c r="K8" s="1321"/>
      <c r="L8" s="1105" t="str">
        <f>+Cuestionario!K14</f>
        <v>NO</v>
      </c>
    </row>
    <row r="9" spans="1:12" s="168" customFormat="1" ht="9" customHeight="1">
      <c r="A9" s="984"/>
      <c r="B9" s="858"/>
      <c r="C9" s="861"/>
      <c r="D9" s="861"/>
      <c r="E9" s="861"/>
      <c r="F9" s="861"/>
      <c r="G9" s="861"/>
      <c r="H9" s="861"/>
      <c r="I9" s="861"/>
      <c r="J9" s="861"/>
      <c r="K9" s="863"/>
      <c r="L9" s="989"/>
    </row>
    <row r="10" spans="1:12" s="168" customFormat="1" ht="36" customHeight="1">
      <c r="A10" s="1277" t="s">
        <v>900</v>
      </c>
      <c r="B10" s="982"/>
      <c r="C10" s="953" t="s">
        <v>254</v>
      </c>
      <c r="D10" s="954" t="s">
        <v>351</v>
      </c>
      <c r="E10" s="954" t="s">
        <v>362</v>
      </c>
      <c r="F10" s="954" t="s">
        <v>257</v>
      </c>
      <c r="G10" s="954" t="str">
        <f>+Cuestionario!F16</f>
        <v>Fecha nacimiento</v>
      </c>
      <c r="H10" s="954" t="s">
        <v>259</v>
      </c>
      <c r="I10" s="954" t="s">
        <v>260</v>
      </c>
      <c r="J10" s="954" t="s">
        <v>261</v>
      </c>
      <c r="K10" s="954" t="s">
        <v>262</v>
      </c>
      <c r="L10" s="989"/>
    </row>
    <row r="11" spans="1:12" s="168" customFormat="1" ht="21" customHeight="1">
      <c r="A11" s="1277"/>
      <c r="B11" s="982"/>
      <c r="C11" s="993">
        <f>+Cuestionario!B17</f>
        <v>0</v>
      </c>
      <c r="D11" s="994">
        <f>+Cuestionario!C17</f>
        <v>0</v>
      </c>
      <c r="E11" s="995">
        <f>+Cuestionario!D17</f>
        <v>0</v>
      </c>
      <c r="F11" s="996" t="str">
        <f>IF(+Cuestionario!E17=0,"",+Cuestionario!E17)</f>
        <v/>
      </c>
      <c r="G11" s="997">
        <f>+Cuestionario!F17</f>
        <v>0</v>
      </c>
      <c r="H11" s="998">
        <f>+Cuestionario!G17</f>
        <v>0</v>
      </c>
      <c r="I11" s="995">
        <f>+Cuestionario!H17</f>
        <v>0</v>
      </c>
      <c r="J11" s="994">
        <f>+Cuestionario!I17</f>
        <v>0</v>
      </c>
      <c r="K11" s="999">
        <f>+Cuestionario!J17</f>
        <v>0</v>
      </c>
      <c r="L11" s="1106" t="str">
        <f>+Cuestionario!K17</f>
        <v>NO</v>
      </c>
    </row>
    <row r="12" spans="1:12" s="168" customFormat="1" ht="20.25" customHeight="1">
      <c r="A12" s="1277"/>
      <c r="B12" s="982"/>
      <c r="C12" s="1000">
        <f>+Cuestionario!B18</f>
        <v>0</v>
      </c>
      <c r="D12" s="1001">
        <f>+Cuestionario!C18</f>
        <v>0</v>
      </c>
      <c r="E12" s="1002">
        <f>+Cuestionario!D18</f>
        <v>0</v>
      </c>
      <c r="F12" s="1003" t="str">
        <f>IF(+Cuestionario!E18=0,"",+Cuestionario!E18)</f>
        <v/>
      </c>
      <c r="G12" s="1004">
        <f>+Cuestionario!F18</f>
        <v>0</v>
      </c>
      <c r="H12" s="1005">
        <f>+Cuestionario!G18</f>
        <v>0</v>
      </c>
      <c r="I12" s="1002">
        <f>+Cuestionario!H18</f>
        <v>0</v>
      </c>
      <c r="J12" s="1001">
        <f>+Cuestionario!I18</f>
        <v>0</v>
      </c>
      <c r="K12" s="1006">
        <f>+Cuestionario!J18</f>
        <v>0</v>
      </c>
      <c r="L12" s="1107" t="str">
        <f>+Cuestionario!K18</f>
        <v>NO</v>
      </c>
    </row>
    <row r="13" spans="1:12" s="168" customFormat="1" ht="20.25" customHeight="1">
      <c r="A13" s="1277"/>
      <c r="B13" s="982"/>
      <c r="C13" s="1000">
        <f>+Cuestionario!B19</f>
        <v>0</v>
      </c>
      <c r="D13" s="1001">
        <f>+Cuestionario!C19</f>
        <v>0</v>
      </c>
      <c r="E13" s="1002">
        <f>+Cuestionario!D19</f>
        <v>0</v>
      </c>
      <c r="F13" s="1003" t="str">
        <f>IF(+Cuestionario!E19=0,"",+Cuestionario!E19)</f>
        <v/>
      </c>
      <c r="G13" s="1004">
        <f>+Cuestionario!F19</f>
        <v>0</v>
      </c>
      <c r="H13" s="1005">
        <f>+Cuestionario!G19</f>
        <v>0</v>
      </c>
      <c r="I13" s="1002">
        <f>+Cuestionario!H19</f>
        <v>0</v>
      </c>
      <c r="J13" s="1001">
        <f>+Cuestionario!I19</f>
        <v>0</v>
      </c>
      <c r="K13" s="1006">
        <f>+Cuestionario!J19</f>
        <v>0</v>
      </c>
      <c r="L13" s="1107" t="str">
        <f>+Cuestionario!K19</f>
        <v>NO</v>
      </c>
    </row>
    <row r="14" spans="1:12" s="168" customFormat="1" ht="20.25" customHeight="1">
      <c r="A14" s="1277"/>
      <c r="B14" s="982"/>
      <c r="C14" s="1007">
        <f>+Cuestionario!B20</f>
        <v>0</v>
      </c>
      <c r="D14" s="1008">
        <f>+Cuestionario!C20</f>
        <v>0</v>
      </c>
      <c r="E14" s="1009">
        <f>+Cuestionario!D20</f>
        <v>0</v>
      </c>
      <c r="F14" s="1010" t="str">
        <f>IF(+Cuestionario!E20=0,"",+Cuestionario!E20)</f>
        <v/>
      </c>
      <c r="G14" s="1011">
        <f>+Cuestionario!F20</f>
        <v>0</v>
      </c>
      <c r="H14" s="1012">
        <f>+Cuestionario!G20</f>
        <v>0</v>
      </c>
      <c r="I14" s="1009">
        <f>+Cuestionario!H20</f>
        <v>0</v>
      </c>
      <c r="J14" s="1008">
        <f>+Cuestionario!I20</f>
        <v>0</v>
      </c>
      <c r="K14" s="1013">
        <f>+Cuestionario!J20</f>
        <v>0</v>
      </c>
      <c r="L14" s="1108" t="str">
        <f>+Cuestionario!K22</f>
        <v>NO</v>
      </c>
    </row>
    <row r="15" spans="1:12" s="168" customFormat="1" ht="7.5" customHeight="1">
      <c r="A15" s="1277"/>
      <c r="B15" s="982"/>
      <c r="C15" s="856"/>
      <c r="D15" s="854"/>
      <c r="E15" s="854"/>
      <c r="F15" s="857"/>
      <c r="G15" s="854"/>
      <c r="H15" s="854"/>
      <c r="I15" s="854"/>
      <c r="J15" s="854"/>
      <c r="K15" s="854"/>
      <c r="L15" s="989"/>
    </row>
    <row r="16" spans="1:12" s="168" customFormat="1" ht="18" customHeight="1">
      <c r="A16" s="1277"/>
      <c r="B16" s="982"/>
      <c r="C16" s="1288" t="s">
        <v>272</v>
      </c>
      <c r="D16" s="1288"/>
      <c r="E16" s="1289">
        <f>+Cuestionario!E25</f>
        <v>0</v>
      </c>
      <c r="F16" s="1289"/>
      <c r="G16" s="1289"/>
      <c r="H16" s="1289"/>
      <c r="I16" s="1289"/>
      <c r="J16" s="1289"/>
      <c r="K16" s="1289"/>
      <c r="L16" s="989"/>
    </row>
    <row r="17" spans="1:22" s="168" customFormat="1" ht="10.5" customHeight="1">
      <c r="A17" s="1277"/>
      <c r="B17" s="982"/>
      <c r="C17" s="861"/>
      <c r="D17" s="861"/>
      <c r="E17" s="861"/>
      <c r="F17" s="861"/>
      <c r="G17" s="861"/>
      <c r="H17" s="861"/>
      <c r="I17" s="861"/>
      <c r="J17" s="861"/>
      <c r="K17" s="861"/>
      <c r="L17" s="989"/>
    </row>
    <row r="18" spans="1:22" s="168" customFormat="1" ht="30.75">
      <c r="A18" s="1277"/>
      <c r="B18" s="982"/>
      <c r="C18" s="1288" t="s">
        <v>263</v>
      </c>
      <c r="D18" s="1288"/>
      <c r="E18" s="937" t="s">
        <v>907</v>
      </c>
      <c r="F18" s="937" t="s">
        <v>264</v>
      </c>
      <c r="G18" s="937" t="s">
        <v>266</v>
      </c>
      <c r="H18" s="937" t="str">
        <f>+Cuestionario!F31</f>
        <v>TOTAL inicial</v>
      </c>
      <c r="I18" s="937" t="str">
        <f>+Cuestionario!G31</f>
        <v>Total prev.2021</v>
      </c>
      <c r="J18" s="937" t="str">
        <f>+Cuestionario!H31</f>
        <v>Total prev.2022</v>
      </c>
      <c r="K18" s="937" t="str">
        <f>+Cuestionario!I31</f>
        <v>Total prev. 2023</v>
      </c>
      <c r="L18" s="990"/>
    </row>
    <row r="19" spans="1:22">
      <c r="A19" s="1277"/>
      <c r="B19" s="982"/>
      <c r="C19" s="1296" t="s">
        <v>268</v>
      </c>
      <c r="D19" s="1296"/>
      <c r="E19" s="1014">
        <f>+Cuestionario!J32</f>
        <v>0</v>
      </c>
      <c r="F19" s="1014">
        <f>+Cuestionario!C32</f>
        <v>0</v>
      </c>
      <c r="G19" s="1015">
        <f>+Cuestionario!D32+Cuestionario!E32</f>
        <v>0</v>
      </c>
      <c r="H19" s="1016">
        <f>+Cuestionario!F32</f>
        <v>0</v>
      </c>
      <c r="I19" s="1017">
        <f>+Cuestionario!G32</f>
        <v>0</v>
      </c>
      <c r="J19" s="1018">
        <f>+Cuestionario!H32</f>
        <v>0</v>
      </c>
      <c r="K19" s="1019">
        <f>+Cuestionario!I32</f>
        <v>0</v>
      </c>
      <c r="M19" s="168"/>
      <c r="N19" s="168"/>
      <c r="O19" s="168"/>
      <c r="P19" s="168"/>
      <c r="Q19" s="168"/>
      <c r="R19" s="168"/>
      <c r="S19" s="168"/>
      <c r="T19" s="168"/>
      <c r="U19" s="168"/>
      <c r="V19" s="168"/>
    </row>
    <row r="20" spans="1:22">
      <c r="A20" s="1277"/>
      <c r="B20" s="982"/>
      <c r="C20" s="1288" t="s">
        <v>269</v>
      </c>
      <c r="D20" s="1288"/>
      <c r="E20" s="1020">
        <f>+Cuestionario!J33</f>
        <v>0</v>
      </c>
      <c r="F20" s="1020">
        <f>+Cuestionario!C33</f>
        <v>0</v>
      </c>
      <c r="G20" s="1021">
        <f>+Cuestionario!D33+Cuestionario!E33</f>
        <v>0</v>
      </c>
      <c r="H20" s="1022">
        <f>+Cuestionario!F33</f>
        <v>0</v>
      </c>
      <c r="I20" s="1023">
        <f>+Cuestionario!G33</f>
        <v>0</v>
      </c>
      <c r="J20" s="1024">
        <f>+Cuestionario!H33</f>
        <v>0</v>
      </c>
      <c r="K20" s="1025">
        <f>+Cuestionario!I33</f>
        <v>0</v>
      </c>
      <c r="M20" s="168"/>
      <c r="N20" s="168"/>
      <c r="O20" s="168"/>
      <c r="P20" s="168"/>
      <c r="Q20" s="168"/>
      <c r="R20" s="168"/>
      <c r="S20" s="168"/>
      <c r="T20" s="168"/>
      <c r="U20" s="168"/>
      <c r="V20" s="168"/>
    </row>
    <row r="21" spans="1:22">
      <c r="A21" s="1277"/>
      <c r="B21" s="982"/>
      <c r="C21" s="1288" t="s">
        <v>896</v>
      </c>
      <c r="D21" s="1288"/>
      <c r="E21" s="1026">
        <f>+Cuestionario!J34</f>
        <v>0</v>
      </c>
      <c r="F21" s="1026">
        <f>+Cuestionario!C34</f>
        <v>0</v>
      </c>
      <c r="G21" s="1027">
        <f>+Cuestionario!D34+Cuestionario!E34</f>
        <v>0</v>
      </c>
      <c r="H21" s="1028">
        <f>+Cuestionario!F34</f>
        <v>0</v>
      </c>
      <c r="I21" s="1029">
        <f>+Cuestionario!G34</f>
        <v>0</v>
      </c>
      <c r="J21" s="1030">
        <f>+Cuestionario!H34</f>
        <v>0</v>
      </c>
      <c r="K21" s="1031">
        <f>+Cuestionario!I34</f>
        <v>0</v>
      </c>
      <c r="M21" s="168"/>
      <c r="N21" s="168"/>
      <c r="O21" s="168"/>
      <c r="P21" s="168"/>
      <c r="Q21" s="168"/>
      <c r="R21" s="168"/>
      <c r="S21" s="168"/>
      <c r="T21" s="168"/>
      <c r="U21" s="168"/>
      <c r="V21" s="168"/>
    </row>
    <row r="22" spans="1:22">
      <c r="A22" s="1277"/>
      <c r="B22" s="982"/>
      <c r="C22" s="978" t="s">
        <v>267</v>
      </c>
      <c r="D22" s="977"/>
      <c r="E22" s="992">
        <f>SUM(E19:E21)</f>
        <v>0</v>
      </c>
      <c r="F22" s="979">
        <f>+Cuestionario!C35</f>
        <v>0</v>
      </c>
      <c r="G22" s="980">
        <f>+Cuestionario!D35+Cuestionario!E35</f>
        <v>0</v>
      </c>
      <c r="H22" s="981">
        <f>+Cuestionario!F35</f>
        <v>0</v>
      </c>
      <c r="I22" s="980">
        <f>+Cuestionario!G35</f>
        <v>0</v>
      </c>
      <c r="J22" s="981">
        <f>+Cuestionario!H35</f>
        <v>0</v>
      </c>
      <c r="K22" s="895">
        <f>+Cuestionario!I35</f>
        <v>0</v>
      </c>
      <c r="M22" s="168"/>
      <c r="N22" s="168"/>
      <c r="O22" s="168"/>
      <c r="P22" s="168"/>
      <c r="Q22" s="168"/>
      <c r="R22" s="168"/>
      <c r="S22" s="168"/>
    </row>
    <row r="23" spans="1:22" ht="11.25" customHeight="1">
      <c r="A23" s="1277"/>
      <c r="B23" s="982"/>
      <c r="C23" s="223"/>
      <c r="D23" s="224"/>
      <c r="E23" s="222"/>
      <c r="F23" s="222"/>
      <c r="G23" s="222"/>
      <c r="H23" s="222"/>
      <c r="I23" s="222"/>
      <c r="J23" s="222"/>
      <c r="K23" s="222"/>
      <c r="M23" s="168"/>
      <c r="N23" s="168"/>
      <c r="O23" s="168"/>
      <c r="P23" s="168"/>
      <c r="Q23" s="168"/>
      <c r="R23" s="168"/>
      <c r="S23" s="168"/>
    </row>
    <row r="24" spans="1:22" ht="26.25" customHeight="1">
      <c r="A24" s="1277"/>
      <c r="B24" s="982"/>
      <c r="C24" s="1288" t="s">
        <v>332</v>
      </c>
      <c r="D24" s="1288"/>
      <c r="E24" s="1322">
        <f>+Cuestionario!E37</f>
        <v>0</v>
      </c>
      <c r="F24" s="1322"/>
      <c r="G24" s="1322"/>
      <c r="H24" s="1322"/>
      <c r="I24" s="1322"/>
      <c r="J24" s="1322"/>
      <c r="K24" s="1322"/>
      <c r="L24" s="1105" t="str">
        <f>+Cuestionario!K37</f>
        <v>NO</v>
      </c>
    </row>
    <row r="25" spans="1:22" ht="11.25" customHeight="1">
      <c r="C25" s="223"/>
      <c r="D25" s="224"/>
      <c r="E25" s="368"/>
      <c r="F25" s="368"/>
      <c r="G25" s="368"/>
      <c r="H25" s="368"/>
      <c r="I25" s="368"/>
      <c r="J25" s="368"/>
      <c r="K25" s="368"/>
    </row>
    <row r="26" spans="1:22" ht="32.25" customHeight="1">
      <c r="A26" s="1278" t="s">
        <v>901</v>
      </c>
      <c r="B26" s="983"/>
      <c r="C26" s="1288" t="s">
        <v>333</v>
      </c>
      <c r="D26" s="1288"/>
      <c r="E26" s="1322">
        <f>+Cuestionario!E40</f>
        <v>0</v>
      </c>
      <c r="F26" s="1322"/>
      <c r="G26" s="1322"/>
      <c r="H26" s="1322"/>
      <c r="I26" s="1322"/>
      <c r="J26" s="1322"/>
      <c r="K26" s="1322"/>
      <c r="L26" s="1105" t="str">
        <f>+Cuestionario!K40</f>
        <v>NO</v>
      </c>
      <c r="S26" s="796"/>
    </row>
    <row r="27" spans="1:22" ht="32.25" customHeight="1">
      <c r="A27" s="1278"/>
      <c r="B27" s="983"/>
      <c r="C27" s="1288" t="s">
        <v>334</v>
      </c>
      <c r="D27" s="1288"/>
      <c r="E27" s="1322">
        <f>+Cuestionario!E41</f>
        <v>0</v>
      </c>
      <c r="F27" s="1322"/>
      <c r="G27" s="1322"/>
      <c r="H27" s="1322"/>
      <c r="I27" s="1322"/>
      <c r="J27" s="1322"/>
      <c r="K27" s="1322"/>
      <c r="L27" s="1105" t="str">
        <f>+Cuestionario!K41</f>
        <v>NO</v>
      </c>
    </row>
    <row r="28" spans="1:22" ht="32.25" customHeight="1">
      <c r="A28" s="1278"/>
      <c r="B28" s="983"/>
      <c r="C28" s="1288" t="s">
        <v>273</v>
      </c>
      <c r="D28" s="1288"/>
      <c r="E28" s="1322">
        <f>+Cuestionario!E42</f>
        <v>0</v>
      </c>
      <c r="F28" s="1322"/>
      <c r="G28" s="1322"/>
      <c r="H28" s="1322"/>
      <c r="I28" s="1322"/>
      <c r="J28" s="1322"/>
      <c r="K28" s="1322"/>
      <c r="L28" s="1105" t="str">
        <f>+Cuestionario!K42</f>
        <v>NO</v>
      </c>
    </row>
    <row r="29" spans="1:22" ht="32.25" customHeight="1">
      <c r="A29" s="1278"/>
      <c r="B29" s="983"/>
      <c r="C29" s="1288" t="s">
        <v>340</v>
      </c>
      <c r="D29" s="1288"/>
      <c r="E29" s="1322">
        <f>+Cuestionario!E44</f>
        <v>0</v>
      </c>
      <c r="F29" s="1322"/>
      <c r="G29" s="1322"/>
      <c r="H29" s="1322"/>
      <c r="I29" s="1322"/>
      <c r="J29" s="1322"/>
      <c r="K29" s="1322"/>
      <c r="L29" s="1105" t="str">
        <f>+Cuestionario!K44</f>
        <v>NO</v>
      </c>
    </row>
    <row r="30" spans="1:22" ht="32.25" customHeight="1">
      <c r="A30" s="1278"/>
      <c r="B30" s="983"/>
      <c r="C30" s="1288" t="s">
        <v>360</v>
      </c>
      <c r="D30" s="1288"/>
      <c r="E30" s="1322">
        <f>+Cuestionario!E45</f>
        <v>0</v>
      </c>
      <c r="F30" s="1322"/>
      <c r="G30" s="1322"/>
      <c r="H30" s="1322"/>
      <c r="I30" s="1322"/>
      <c r="J30" s="1322"/>
      <c r="K30" s="1322"/>
      <c r="L30" s="1105" t="str">
        <f>+Cuestionario!K45</f>
        <v>NO</v>
      </c>
    </row>
    <row r="31" spans="1:22" ht="32.25" customHeight="1">
      <c r="A31" s="1278"/>
      <c r="B31" s="983"/>
      <c r="C31" s="1288" t="s">
        <v>274</v>
      </c>
      <c r="D31" s="1288"/>
      <c r="E31" s="1322">
        <f>+Cuestionario!E47</f>
        <v>0</v>
      </c>
      <c r="F31" s="1322"/>
      <c r="G31" s="1322"/>
      <c r="H31" s="1322"/>
      <c r="I31" s="1322"/>
      <c r="J31" s="1322"/>
      <c r="K31" s="1322"/>
      <c r="L31" s="1105" t="str">
        <f>+Cuestionario!K47</f>
        <v>NO</v>
      </c>
    </row>
    <row r="32" spans="1:22" ht="32.25" customHeight="1">
      <c r="A32" s="1278"/>
      <c r="B32" s="983"/>
      <c r="C32" s="1288" t="s">
        <v>352</v>
      </c>
      <c r="D32" s="1288"/>
      <c r="E32" s="1322">
        <f>+Cuestionario!E48</f>
        <v>0</v>
      </c>
      <c r="F32" s="1322"/>
      <c r="G32" s="1322"/>
      <c r="H32" s="1322"/>
      <c r="I32" s="1322"/>
      <c r="J32" s="1322"/>
      <c r="K32" s="1322"/>
      <c r="L32" s="1105" t="str">
        <f>+Cuestionario!K48</f>
        <v>NO</v>
      </c>
    </row>
    <row r="33" spans="1:12" ht="32.25" customHeight="1">
      <c r="A33" s="1278"/>
      <c r="B33" s="983"/>
      <c r="C33" s="1288" t="s">
        <v>275</v>
      </c>
      <c r="D33" s="1288"/>
      <c r="E33" s="1322">
        <f>+Cuestionario!E49</f>
        <v>0</v>
      </c>
      <c r="F33" s="1322"/>
      <c r="G33" s="1322"/>
      <c r="H33" s="1322"/>
      <c r="I33" s="1322"/>
      <c r="J33" s="1322"/>
      <c r="K33" s="1322"/>
      <c r="L33" s="1105" t="str">
        <f>+Cuestionario!K49</f>
        <v>NO</v>
      </c>
    </row>
    <row r="34" spans="1:12" ht="32.25" customHeight="1">
      <c r="A34" s="1278"/>
      <c r="B34" s="983"/>
      <c r="C34" s="1288" t="s">
        <v>319</v>
      </c>
      <c r="D34" s="1288"/>
      <c r="E34" s="1322">
        <f>+Cuestionario!E50</f>
        <v>0</v>
      </c>
      <c r="F34" s="1322"/>
      <c r="G34" s="1322"/>
      <c r="H34" s="1322"/>
      <c r="I34" s="1322"/>
      <c r="J34" s="1322"/>
      <c r="K34" s="1322"/>
      <c r="L34" s="1105" t="str">
        <f>+Cuestionario!K50</f>
        <v>NO</v>
      </c>
    </row>
    <row r="35" spans="1:12" ht="32.25" customHeight="1">
      <c r="A35" s="1278"/>
      <c r="B35" s="983"/>
      <c r="C35" s="1288" t="s">
        <v>320</v>
      </c>
      <c r="D35" s="1288"/>
      <c r="E35" s="1322">
        <f>Cuestionario!E60</f>
        <v>0</v>
      </c>
      <c r="F35" s="1322"/>
      <c r="G35" s="1322"/>
      <c r="H35" s="1322"/>
      <c r="I35" s="1322"/>
      <c r="J35" s="1322"/>
      <c r="K35" s="1322"/>
      <c r="L35" s="1105" t="str">
        <f>Cuestionario!K60</f>
        <v>NO</v>
      </c>
    </row>
    <row r="36" spans="1:12" ht="32.25" customHeight="1">
      <c r="A36" s="1278"/>
      <c r="B36" s="983"/>
      <c r="C36" s="1288" t="str">
        <f>+Cuestionario!B52</f>
        <v>Países donde exporta producto / servicio</v>
      </c>
      <c r="D36" s="1288"/>
      <c r="E36" s="1322">
        <f>Cuestionario!E52</f>
        <v>0</v>
      </c>
      <c r="F36" s="1322"/>
      <c r="G36" s="1322"/>
      <c r="H36" s="1322"/>
      <c r="I36" s="1322"/>
      <c r="J36" s="1322"/>
      <c r="K36" s="1322"/>
      <c r="L36" s="1105" t="str">
        <f>Cuestionario!K52</f>
        <v>NO</v>
      </c>
    </row>
    <row r="37" spans="1:12" ht="32.25" customHeight="1">
      <c r="A37" s="1278"/>
      <c r="B37" s="983"/>
      <c r="C37" s="1288" t="s">
        <v>276</v>
      </c>
      <c r="D37" s="1288"/>
      <c r="E37" s="1322">
        <f>Cuestionario!E51</f>
        <v>0</v>
      </c>
      <c r="F37" s="1322"/>
      <c r="G37" s="1322"/>
      <c r="H37" s="1322"/>
      <c r="I37" s="1322"/>
      <c r="J37" s="1322"/>
      <c r="K37" s="1322"/>
      <c r="L37" s="1105" t="str">
        <f>Cuestionario!K51</f>
        <v>NO</v>
      </c>
    </row>
    <row r="38" spans="1:12" ht="11.25" customHeight="1">
      <c r="C38" s="223"/>
      <c r="D38" s="224"/>
      <c r="E38" s="222"/>
      <c r="F38" s="222"/>
      <c r="G38" s="222"/>
      <c r="H38" s="222"/>
      <c r="I38" s="222"/>
      <c r="J38" s="222"/>
      <c r="K38" s="222"/>
    </row>
    <row r="39" spans="1:12">
      <c r="A39" s="1278" t="s">
        <v>818</v>
      </c>
      <c r="B39" s="983"/>
      <c r="C39" s="811" t="str">
        <f>Seguimiento!A1</f>
        <v>Cuenta de Resultados</v>
      </c>
      <c r="D39" s="896" t="str">
        <f>+Seguimiento!B1</f>
        <v>Real 2018</v>
      </c>
      <c r="E39" s="896" t="str">
        <f>+Seguimiento!C1</f>
        <v>Real 2019</v>
      </c>
      <c r="F39" s="1119" t="str">
        <f>+Seguimiento!D1</f>
        <v>Estimación 2020</v>
      </c>
      <c r="G39" s="1119"/>
      <c r="H39" s="1120" t="str">
        <f>+Seguimiento!F1</f>
        <v>Real/Proyección 2020</v>
      </c>
      <c r="I39" s="1119"/>
      <c r="J39" s="1130" t="s">
        <v>830</v>
      </c>
      <c r="K39" s="1132" t="str">
        <f>+H39</f>
        <v>Real/Proyección 2020</v>
      </c>
      <c r="L39" s="908"/>
    </row>
    <row r="40" spans="1:12">
      <c r="A40" s="1278"/>
      <c r="B40" s="983"/>
      <c r="C40" s="893" t="str">
        <f>Seguimiento!A2</f>
        <v>Ventas</v>
      </c>
      <c r="D40" s="1032">
        <f>+Seguimiento!B2</f>
        <v>0</v>
      </c>
      <c r="E40" s="1032">
        <f>+Seguimiento!C2</f>
        <v>0</v>
      </c>
      <c r="F40" s="1032">
        <f>Seguimiento!D2</f>
        <v>0</v>
      </c>
      <c r="G40" s="1033" t="str">
        <f>Seguimiento!E2</f>
        <v/>
      </c>
      <c r="H40" s="1032">
        <f>Seguimiento!F2</f>
        <v>0</v>
      </c>
      <c r="I40" s="1033" t="str">
        <f>Seguimiento!G2</f>
        <v/>
      </c>
      <c r="J40" s="1034">
        <f t="shared" ref="J40:J51" si="0">+H40-F40</f>
        <v>0</v>
      </c>
      <c r="K40" s="1131" t="s">
        <v>179</v>
      </c>
      <c r="L40" s="908"/>
    </row>
    <row r="41" spans="1:12">
      <c r="A41" s="1278"/>
      <c r="B41" s="983"/>
      <c r="C41" s="893" t="str">
        <f>Seguimiento!A3</f>
        <v>Coste de compras</v>
      </c>
      <c r="D41" s="1035">
        <f>+Seguimiento!B3</f>
        <v>0</v>
      </c>
      <c r="E41" s="1035">
        <f>+Seguimiento!C3</f>
        <v>0</v>
      </c>
      <c r="F41" s="1035">
        <f>Seguimiento!D3</f>
        <v>0</v>
      </c>
      <c r="G41" s="1036" t="str">
        <f>Seguimiento!E3</f>
        <v/>
      </c>
      <c r="H41" s="1035">
        <f>Seguimiento!F3</f>
        <v>0</v>
      </c>
      <c r="I41" s="1036" t="str">
        <f>Seguimiento!G3</f>
        <v/>
      </c>
      <c r="J41" s="1034">
        <f t="shared" si="0"/>
        <v>0</v>
      </c>
      <c r="K41" s="1114">
        <f>+H22</f>
        <v>0</v>
      </c>
      <c r="L41" s="1115"/>
    </row>
    <row r="42" spans="1:12">
      <c r="A42" s="1278"/>
      <c r="B42" s="983"/>
      <c r="C42" s="895" t="str">
        <f>Seguimiento!A4</f>
        <v>MARGEN BRUTO</v>
      </c>
      <c r="D42" s="1032">
        <f>+Seguimiento!B4</f>
        <v>0</v>
      </c>
      <c r="E42" s="1032">
        <f>+Seguimiento!C4</f>
        <v>0</v>
      </c>
      <c r="F42" s="1032">
        <f>Seguimiento!D4</f>
        <v>0</v>
      </c>
      <c r="G42" s="1033" t="str">
        <f>Seguimiento!E4</f>
        <v/>
      </c>
      <c r="H42" s="1032">
        <f>Seguimiento!F4</f>
        <v>0</v>
      </c>
      <c r="I42" s="1033" t="str">
        <f>Seguimiento!G4</f>
        <v/>
      </c>
      <c r="J42" s="1034">
        <f t="shared" si="0"/>
        <v>0</v>
      </c>
      <c r="K42" s="1131" t="s">
        <v>120</v>
      </c>
      <c r="L42" s="991"/>
    </row>
    <row r="43" spans="1:12">
      <c r="A43" s="1278"/>
      <c r="B43" s="983"/>
      <c r="C43" s="893" t="str">
        <f>Seguimiento!A5</f>
        <v>Coste de personal</v>
      </c>
      <c r="D43" s="1035">
        <f>+Seguimiento!B5</f>
        <v>0</v>
      </c>
      <c r="E43" s="1035">
        <f>+Seguimiento!C5</f>
        <v>0</v>
      </c>
      <c r="F43" s="1035">
        <f>Seguimiento!D5</f>
        <v>0</v>
      </c>
      <c r="G43" s="1036" t="str">
        <f>Seguimiento!E5</f>
        <v/>
      </c>
      <c r="H43" s="1035">
        <f>Seguimiento!F5</f>
        <v>0</v>
      </c>
      <c r="I43" s="1036" t="str">
        <f>Seguimiento!G5</f>
        <v/>
      </c>
      <c r="J43" s="1037">
        <f t="shared" si="0"/>
        <v>0</v>
      </c>
      <c r="K43" s="1116">
        <f>+H40</f>
        <v>0</v>
      </c>
      <c r="L43" s="1117"/>
    </row>
    <row r="44" spans="1:12">
      <c r="A44" s="1278"/>
      <c r="B44" s="983"/>
      <c r="C44" s="893" t="str">
        <f>Seguimiento!A6</f>
        <v>Publicidad</v>
      </c>
      <c r="D44" s="1035">
        <f>+Seguimiento!B6</f>
        <v>0</v>
      </c>
      <c r="E44" s="1035">
        <f>+Seguimiento!C6</f>
        <v>0</v>
      </c>
      <c r="F44" s="1035">
        <f>Seguimiento!D6</f>
        <v>0</v>
      </c>
      <c r="G44" s="1036" t="str">
        <f>Seguimiento!E6</f>
        <v/>
      </c>
      <c r="H44" s="1035">
        <f>Seguimiento!F6</f>
        <v>0</v>
      </c>
      <c r="I44" s="1036" t="str">
        <f>Seguimiento!G6</f>
        <v/>
      </c>
      <c r="J44" s="1037">
        <f t="shared" si="0"/>
        <v>0</v>
      </c>
      <c r="K44" s="1131" t="s">
        <v>1267</v>
      </c>
      <c r="L44" s="1118"/>
    </row>
    <row r="45" spans="1:12">
      <c r="A45" s="1278"/>
      <c r="B45" s="983"/>
      <c r="C45" s="893" t="str">
        <f>Seguimiento!A7</f>
        <v>Otros gastos generales</v>
      </c>
      <c r="D45" s="1035">
        <f>+Seguimiento!B7</f>
        <v>0</v>
      </c>
      <c r="E45" s="1035">
        <f>+Seguimiento!C7</f>
        <v>0</v>
      </c>
      <c r="F45" s="1035">
        <f>Seguimiento!D7</f>
        <v>0</v>
      </c>
      <c r="G45" s="1036" t="str">
        <f>Seguimiento!E7</f>
        <v/>
      </c>
      <c r="H45" s="1035">
        <f>Seguimiento!F7</f>
        <v>0</v>
      </c>
      <c r="I45" s="1036" t="str">
        <f>Seguimiento!G7</f>
        <v/>
      </c>
      <c r="J45" s="1037">
        <f t="shared" si="0"/>
        <v>0</v>
      </c>
      <c r="K45" s="1116">
        <f>+H50</f>
        <v>0</v>
      </c>
      <c r="L45" s="1117"/>
    </row>
    <row r="46" spans="1:12">
      <c r="A46" s="1278"/>
      <c r="B46" s="983"/>
      <c r="C46" s="895" t="str">
        <f>Seguimiento!A8</f>
        <v>EBITDA</v>
      </c>
      <c r="D46" s="1032">
        <f>+Seguimiento!B8</f>
        <v>0</v>
      </c>
      <c r="E46" s="1032">
        <f>+Seguimiento!C8</f>
        <v>0</v>
      </c>
      <c r="F46" s="1032">
        <f>Seguimiento!D8</f>
        <v>0</v>
      </c>
      <c r="G46" s="1033" t="str">
        <f>Seguimiento!E8</f>
        <v/>
      </c>
      <c r="H46" s="1032">
        <f>Seguimiento!F8</f>
        <v>0</v>
      </c>
      <c r="I46" s="1033" t="str">
        <f>Seguimiento!G8</f>
        <v/>
      </c>
      <c r="J46" s="1037">
        <f t="shared" si="0"/>
        <v>0</v>
      </c>
      <c r="K46" s="1133" t="s">
        <v>851</v>
      </c>
      <c r="L46" s="865"/>
    </row>
    <row r="47" spans="1:12">
      <c r="A47" s="1278"/>
      <c r="B47" s="983"/>
      <c r="C47" s="893" t="str">
        <f>Seguimiento!A9</f>
        <v>Amortización y prov.</v>
      </c>
      <c r="D47" s="1035">
        <f>+Seguimiento!B9</f>
        <v>0</v>
      </c>
      <c r="E47" s="1035">
        <f>+Seguimiento!C9</f>
        <v>0</v>
      </c>
      <c r="F47" s="1035">
        <f>Seguimiento!D9</f>
        <v>0</v>
      </c>
      <c r="G47" s="1036" t="str">
        <f>Seguimiento!E9</f>
        <v/>
      </c>
      <c r="H47" s="1035">
        <f>Seguimiento!F9</f>
        <v>0</v>
      </c>
      <c r="I47" s="1036" t="str">
        <f>Seguimiento!G9</f>
        <v/>
      </c>
      <c r="J47" s="1037">
        <f t="shared" si="0"/>
        <v>0</v>
      </c>
      <c r="K47" s="1116"/>
      <c r="L47" s="1117"/>
    </row>
    <row r="48" spans="1:12">
      <c r="A48" s="1278"/>
      <c r="B48" s="983"/>
      <c r="C48" s="893" t="str">
        <f>Seguimiento!A10</f>
        <v>Gastos financieros</v>
      </c>
      <c r="D48" s="1038">
        <f>+Seguimiento!B10</f>
        <v>0</v>
      </c>
      <c r="E48" s="1038">
        <f>+Seguimiento!C10</f>
        <v>0</v>
      </c>
      <c r="F48" s="1038">
        <f>Seguimiento!D10</f>
        <v>0</v>
      </c>
      <c r="G48" s="1039" t="str">
        <f>Seguimiento!E10</f>
        <v/>
      </c>
      <c r="H48" s="1038">
        <f>Seguimiento!F10</f>
        <v>0</v>
      </c>
      <c r="I48" s="1036" t="str">
        <f>Seguimiento!G10</f>
        <v/>
      </c>
      <c r="J48" s="1037">
        <f t="shared" si="0"/>
        <v>0</v>
      </c>
      <c r="K48" s="222"/>
    </row>
    <row r="49" spans="1:15">
      <c r="A49" s="1278"/>
      <c r="B49" s="983"/>
      <c r="C49" s="895" t="str">
        <f>Seguimiento!A11</f>
        <v>GASTOS EXPLOTACIÓN</v>
      </c>
      <c r="D49" s="1040">
        <f>+Seguimiento!B11</f>
        <v>0</v>
      </c>
      <c r="E49" s="1040">
        <f>+Seguimiento!C11</f>
        <v>0</v>
      </c>
      <c r="F49" s="1040">
        <f>Seguimiento!D11</f>
        <v>0</v>
      </c>
      <c r="G49" s="1041" t="str">
        <f>Seguimiento!E11</f>
        <v/>
      </c>
      <c r="H49" s="1040">
        <f>Seguimiento!F11</f>
        <v>0</v>
      </c>
      <c r="I49" s="1033" t="str">
        <f>Seguimiento!G11</f>
        <v/>
      </c>
      <c r="J49" s="1037">
        <f t="shared" si="0"/>
        <v>0</v>
      </c>
      <c r="K49" s="222"/>
    </row>
    <row r="50" spans="1:15">
      <c r="A50" s="1278"/>
      <c r="B50" s="983"/>
      <c r="C50" s="895" t="str">
        <f>Seguimiento!A12</f>
        <v>RESULTADOS ANTES IMP.</v>
      </c>
      <c r="D50" s="1040">
        <f>+Seguimiento!B12</f>
        <v>0</v>
      </c>
      <c r="E50" s="1040">
        <f>+Seguimiento!C12</f>
        <v>0</v>
      </c>
      <c r="F50" s="1040">
        <f>Seguimiento!D12</f>
        <v>0</v>
      </c>
      <c r="G50" s="1041" t="str">
        <f>Seguimiento!E12</f>
        <v/>
      </c>
      <c r="H50" s="1040">
        <f>Seguimiento!F12</f>
        <v>0</v>
      </c>
      <c r="I50" s="1033" t="str">
        <f>Seguimiento!G12</f>
        <v/>
      </c>
      <c r="J50" s="1037">
        <f t="shared" si="0"/>
        <v>0</v>
      </c>
      <c r="K50" s="222"/>
    </row>
    <row r="51" spans="1:15">
      <c r="A51" s="1278"/>
      <c r="B51" s="983"/>
      <c r="C51" s="895" t="str">
        <f>Seguimiento!A13</f>
        <v>Resultado después impuestos</v>
      </c>
      <c r="F51" s="1040">
        <f>Seguimiento!D13</f>
        <v>0</v>
      </c>
      <c r="G51" s="1039" t="str">
        <f>Seguimiento!E13</f>
        <v/>
      </c>
      <c r="H51" s="1040">
        <f>Seguimiento!F13</f>
        <v>0</v>
      </c>
      <c r="I51" s="1036" t="str">
        <f>Seguimiento!G13</f>
        <v/>
      </c>
      <c r="J51" s="1037">
        <f t="shared" si="0"/>
        <v>0</v>
      </c>
      <c r="K51" s="222"/>
    </row>
    <row r="52" spans="1:15" ht="26.25" customHeight="1">
      <c r="A52" s="1278"/>
      <c r="B52" s="983"/>
      <c r="C52" s="896" t="str">
        <f>Seguimiento!A14</f>
        <v>PUNTO DE EQUILIBRIO</v>
      </c>
      <c r="D52" s="929">
        <f>Seguimiento!D14</f>
        <v>0</v>
      </c>
      <c r="E52" s="930" t="str">
        <f>Seguimiento!E14</f>
        <v/>
      </c>
      <c r="F52" s="929">
        <f>Seguimiento!F14</f>
        <v>0</v>
      </c>
      <c r="G52" s="894" t="str">
        <f>Seguimiento!G14</f>
        <v/>
      </c>
      <c r="H52" s="892"/>
      <c r="I52" s="117"/>
      <c r="J52" s="222"/>
      <c r="K52" s="222"/>
    </row>
    <row r="53" spans="1:15" ht="11.25" customHeight="1">
      <c r="C53" s="223"/>
      <c r="D53" s="224"/>
      <c r="E53" s="222"/>
      <c r="F53" s="222"/>
      <c r="G53" s="222"/>
      <c r="H53" s="222"/>
      <c r="I53" s="222"/>
      <c r="J53" s="222"/>
      <c r="K53" s="222"/>
    </row>
    <row r="54" spans="1:15">
      <c r="A54" s="1277" t="s">
        <v>819</v>
      </c>
      <c r="B54" s="982"/>
      <c r="C54" s="1318" t="s">
        <v>365</v>
      </c>
      <c r="D54" s="1318"/>
      <c r="E54" s="864">
        <f>+Resultados!C2</f>
        <v>2021</v>
      </c>
      <c r="F54" s="863"/>
      <c r="G54" s="864">
        <f>+Resultados!E2</f>
        <v>2022</v>
      </c>
      <c r="H54" s="863"/>
      <c r="I54" s="864">
        <f>+Resultados!G2</f>
        <v>2023</v>
      </c>
      <c r="J54" s="863"/>
      <c r="K54" s="222"/>
    </row>
    <row r="55" spans="1:15" ht="5.25" customHeight="1">
      <c r="A55" s="1277"/>
      <c r="B55" s="982"/>
      <c r="C55" s="865"/>
      <c r="D55" s="861"/>
      <c r="E55" s="861"/>
      <c r="F55" s="861"/>
      <c r="G55" s="861"/>
      <c r="H55" s="861"/>
      <c r="I55" s="861"/>
      <c r="J55" s="866"/>
      <c r="K55" s="222"/>
    </row>
    <row r="56" spans="1:15">
      <c r="A56" s="1277"/>
      <c r="B56" s="982"/>
      <c r="C56" s="867" t="str">
        <f>+Resultados!B4</f>
        <v>Ventas</v>
      </c>
      <c r="D56" s="861"/>
      <c r="E56" s="1042">
        <f>+Resultados!C4</f>
        <v>0</v>
      </c>
      <c r="F56" s="1045" t="str">
        <f>+Resultados!D4</f>
        <v/>
      </c>
      <c r="G56" s="1042">
        <f>+Resultados!E4</f>
        <v>0</v>
      </c>
      <c r="H56" s="1045" t="str">
        <f>+Resultados!F4</f>
        <v/>
      </c>
      <c r="I56" s="1042">
        <f>+Resultados!G4</f>
        <v>0</v>
      </c>
      <c r="J56" s="1045" t="str">
        <f>+Resultados!H4</f>
        <v/>
      </c>
      <c r="K56" s="222"/>
      <c r="O56" s="117" t="s">
        <v>46</v>
      </c>
    </row>
    <row r="57" spans="1:15">
      <c r="A57" s="1277"/>
      <c r="B57" s="982"/>
      <c r="C57" s="867" t="str">
        <f>+Resultados!B5</f>
        <v>Coste de compra sin IVA</v>
      </c>
      <c r="D57" s="861"/>
      <c r="E57" s="1042">
        <f>+Resultados!C5</f>
        <v>0</v>
      </c>
      <c r="F57" s="1045" t="str">
        <f>+Resultados!D5</f>
        <v/>
      </c>
      <c r="G57" s="1042">
        <f>+Resultados!E5</f>
        <v>0</v>
      </c>
      <c r="H57" s="1045" t="str">
        <f>+Resultados!F5</f>
        <v/>
      </c>
      <c r="I57" s="1042">
        <f>+Resultados!G5</f>
        <v>0</v>
      </c>
      <c r="J57" s="1045" t="str">
        <f>+Resultados!H5</f>
        <v/>
      </c>
      <c r="K57" s="222"/>
    </row>
    <row r="58" spans="1:15">
      <c r="A58" s="1277"/>
      <c r="B58" s="982"/>
      <c r="C58" s="867" t="str">
        <f>+Resultados!B6</f>
        <v>Otros costes variables</v>
      </c>
      <c r="D58" s="861"/>
      <c r="E58" s="1042">
        <f>+Resultados!C6</f>
        <v>0</v>
      </c>
      <c r="F58" s="1045" t="str">
        <f>+Resultados!D6</f>
        <v/>
      </c>
      <c r="G58" s="1042">
        <f>+Resultados!E6</f>
        <v>0</v>
      </c>
      <c r="H58" s="1045" t="str">
        <f>+Resultados!F6</f>
        <v/>
      </c>
      <c r="I58" s="1042">
        <f>+Resultados!G6</f>
        <v>0</v>
      </c>
      <c r="J58" s="1045" t="str">
        <f>+Resultados!H6</f>
        <v/>
      </c>
      <c r="K58" s="222"/>
    </row>
    <row r="59" spans="1:15" ht="4.5" customHeight="1">
      <c r="A59" s="1277"/>
      <c r="B59" s="982"/>
      <c r="C59" s="870"/>
      <c r="D59" s="861"/>
      <c r="E59" s="1043"/>
      <c r="F59" s="1046"/>
      <c r="G59" s="1043"/>
      <c r="H59" s="1046"/>
      <c r="I59" s="1043"/>
      <c r="J59" s="1047"/>
      <c r="K59" s="222"/>
    </row>
    <row r="60" spans="1:15">
      <c r="A60" s="1277"/>
      <c r="B60" s="982"/>
      <c r="C60" s="873" t="str">
        <f>+Resultados!B8</f>
        <v>Margen bruto</v>
      </c>
      <c r="D60" s="861"/>
      <c r="E60" s="1044">
        <f>+Resultados!C8</f>
        <v>0</v>
      </c>
      <c r="F60" s="1048" t="str">
        <f>+Resultados!D8</f>
        <v/>
      </c>
      <c r="G60" s="1044">
        <f>+Resultados!E8</f>
        <v>0</v>
      </c>
      <c r="H60" s="1048" t="str">
        <f>+Resultados!F8</f>
        <v/>
      </c>
      <c r="I60" s="1044">
        <f>+Resultados!G8</f>
        <v>0</v>
      </c>
      <c r="J60" s="1048" t="str">
        <f>+Resultados!H8</f>
        <v/>
      </c>
      <c r="K60" s="222"/>
    </row>
    <row r="61" spans="1:15" ht="6.75" customHeight="1">
      <c r="A61" s="1277"/>
      <c r="B61" s="982"/>
      <c r="C61" s="876"/>
      <c r="D61" s="861"/>
      <c r="E61" s="1043"/>
      <c r="F61" s="1043"/>
      <c r="G61" s="1043"/>
      <c r="H61" s="1043"/>
      <c r="I61" s="1043"/>
      <c r="J61" s="1043"/>
      <c r="K61" s="222"/>
    </row>
    <row r="62" spans="1:15">
      <c r="A62" s="1277"/>
      <c r="B62" s="982"/>
      <c r="C62" s="877" t="str">
        <f>+Resultados!B10</f>
        <v>Sueldos y salarios</v>
      </c>
      <c r="D62" s="861"/>
      <c r="E62" s="1042">
        <f>+Resultados!C10</f>
        <v>0</v>
      </c>
      <c r="F62" s="1045" t="str">
        <f>+Resultados!D10</f>
        <v/>
      </c>
      <c r="G62" s="1042">
        <f>+Resultados!E10</f>
        <v>0</v>
      </c>
      <c r="H62" s="1045" t="str">
        <f>+Resultados!F10</f>
        <v/>
      </c>
      <c r="I62" s="1042">
        <f>+Resultados!G10</f>
        <v>0</v>
      </c>
      <c r="J62" s="1045" t="str">
        <f>+Resultados!H10</f>
        <v/>
      </c>
      <c r="K62" s="222"/>
    </row>
    <row r="63" spans="1:15">
      <c r="A63" s="1277"/>
      <c r="B63" s="982"/>
      <c r="C63" s="877" t="str">
        <f>+Resultados!B11</f>
        <v>Seguridad social</v>
      </c>
      <c r="D63" s="861"/>
      <c r="E63" s="1042">
        <f>+Resultados!C11</f>
        <v>0</v>
      </c>
      <c r="F63" s="1045" t="str">
        <f>+Resultados!D11</f>
        <v/>
      </c>
      <c r="G63" s="1042">
        <f>+Resultados!E11</f>
        <v>0</v>
      </c>
      <c r="H63" s="1045" t="str">
        <f>+Resultados!F11</f>
        <v/>
      </c>
      <c r="I63" s="1042">
        <f>+Resultados!G11</f>
        <v>0</v>
      </c>
      <c r="J63" s="1045" t="str">
        <f>+Resultados!H11</f>
        <v/>
      </c>
      <c r="K63" s="222"/>
    </row>
    <row r="64" spans="1:15">
      <c r="A64" s="1277"/>
      <c r="B64" s="982"/>
      <c r="C64" s="877" t="str">
        <f>+Resultados!B12</f>
        <v>Publicidad</v>
      </c>
      <c r="D64" s="861"/>
      <c r="E64" s="1042">
        <f>+Resultados!C12</f>
        <v>0</v>
      </c>
      <c r="F64" s="1045" t="str">
        <f>+Resultados!D12</f>
        <v/>
      </c>
      <c r="G64" s="1042">
        <f>+Resultados!E12</f>
        <v>0</v>
      </c>
      <c r="H64" s="1045" t="str">
        <f>+Resultados!F12</f>
        <v/>
      </c>
      <c r="I64" s="1042">
        <f>+Resultados!G12</f>
        <v>0</v>
      </c>
      <c r="J64" s="1045" t="str">
        <f>+Resultados!H12</f>
        <v/>
      </c>
      <c r="K64" s="222"/>
    </row>
    <row r="65" spans="1:11">
      <c r="A65" s="1277"/>
      <c r="B65" s="982"/>
      <c r="C65" s="877">
        <f>+Resultados!B13</f>
        <v>0</v>
      </c>
      <c r="D65" s="861"/>
      <c r="E65" s="1042">
        <f>+Resultados!C13</f>
        <v>0</v>
      </c>
      <c r="F65" s="1045" t="str">
        <f>+Resultados!D13</f>
        <v/>
      </c>
      <c r="G65" s="1042">
        <f>+Resultados!E13</f>
        <v>0</v>
      </c>
      <c r="H65" s="1045" t="str">
        <f>+Resultados!F13</f>
        <v/>
      </c>
      <c r="I65" s="1042">
        <f>+Resultados!G13</f>
        <v>0</v>
      </c>
      <c r="J65" s="1045" t="str">
        <f>+Resultados!H13</f>
        <v/>
      </c>
      <c r="K65" s="222"/>
    </row>
    <row r="66" spans="1:11">
      <c r="A66" s="1277"/>
      <c r="B66" s="982"/>
      <c r="C66" s="877">
        <f>+Resultados!B14</f>
        <v>0</v>
      </c>
      <c r="D66" s="861"/>
      <c r="E66" s="1042">
        <f>+Resultados!C14</f>
        <v>0</v>
      </c>
      <c r="F66" s="1045" t="str">
        <f>+Resultados!D14</f>
        <v/>
      </c>
      <c r="G66" s="1042">
        <f>+Resultados!E14</f>
        <v>0</v>
      </c>
      <c r="H66" s="1045" t="str">
        <f>+Resultados!F14</f>
        <v/>
      </c>
      <c r="I66" s="1042">
        <f>+Resultados!G14</f>
        <v>0</v>
      </c>
      <c r="J66" s="1045" t="str">
        <f>+Resultados!H14</f>
        <v/>
      </c>
      <c r="K66" s="222"/>
    </row>
    <row r="67" spans="1:11">
      <c r="A67" s="1277"/>
      <c r="B67" s="982"/>
      <c r="C67" s="877">
        <f>+Resultados!B15</f>
        <v>0</v>
      </c>
      <c r="D67" s="861"/>
      <c r="E67" s="1042">
        <f>+Resultados!C15</f>
        <v>0</v>
      </c>
      <c r="F67" s="1045" t="str">
        <f>+Resultados!D15</f>
        <v/>
      </c>
      <c r="G67" s="1042">
        <f>+Resultados!E15</f>
        <v>0</v>
      </c>
      <c r="H67" s="1045" t="str">
        <f>+Resultados!F15</f>
        <v/>
      </c>
      <c r="I67" s="1042">
        <f>+Resultados!G15</f>
        <v>0</v>
      </c>
      <c r="J67" s="1045" t="str">
        <f>+Resultados!H15</f>
        <v/>
      </c>
      <c r="K67" s="222"/>
    </row>
    <row r="68" spans="1:11">
      <c r="A68" s="1277"/>
      <c r="B68" s="982"/>
      <c r="C68" s="877" t="str">
        <f>+Resultados!B16</f>
        <v>Otros costes fijos</v>
      </c>
      <c r="D68" s="861"/>
      <c r="E68" s="1042">
        <f>+Resultados!C16</f>
        <v>0</v>
      </c>
      <c r="F68" s="1045" t="str">
        <f>+Resultados!D16</f>
        <v/>
      </c>
      <c r="G68" s="1042">
        <f>+Resultados!E16</f>
        <v>0</v>
      </c>
      <c r="H68" s="1045" t="str">
        <f>+Resultados!F16</f>
        <v/>
      </c>
      <c r="I68" s="1042">
        <f>+Resultados!G16</f>
        <v>0</v>
      </c>
      <c r="J68" s="1045" t="str">
        <f>+Resultados!H16</f>
        <v/>
      </c>
      <c r="K68" s="222"/>
    </row>
    <row r="69" spans="1:11">
      <c r="A69" s="1277"/>
      <c r="B69" s="982"/>
      <c r="C69" s="877" t="str">
        <f>+Resultados!B17</f>
        <v>Amortización</v>
      </c>
      <c r="D69" s="861"/>
      <c r="E69" s="1042">
        <f ca="1">+Resultados!C17</f>
        <v>0</v>
      </c>
      <c r="F69" s="1045" t="str">
        <f ca="1">+Resultados!D17</f>
        <v/>
      </c>
      <c r="G69" s="1042">
        <f ca="1">+Resultados!E17</f>
        <v>0</v>
      </c>
      <c r="H69" s="1045" t="str">
        <f ca="1">+Resultados!F17</f>
        <v/>
      </c>
      <c r="I69" s="1042">
        <f ca="1">+Resultados!G17</f>
        <v>0</v>
      </c>
      <c r="J69" s="1045" t="str">
        <f ca="1">+Resultados!H17</f>
        <v/>
      </c>
      <c r="K69" s="222"/>
    </row>
    <row r="70" spans="1:11">
      <c r="A70" s="1277"/>
      <c r="B70" s="982"/>
      <c r="C70" s="877" t="str">
        <f>+Resultados!B18</f>
        <v>Provisiones</v>
      </c>
      <c r="D70" s="861"/>
      <c r="E70" s="1042">
        <f>+Resultados!C18</f>
        <v>0</v>
      </c>
      <c r="F70" s="1045" t="str">
        <f>+Resultados!D18</f>
        <v/>
      </c>
      <c r="G70" s="1042">
        <f>+Resultados!E18</f>
        <v>0</v>
      </c>
      <c r="H70" s="1045" t="str">
        <f>+Resultados!F18</f>
        <v/>
      </c>
      <c r="I70" s="1042">
        <f>+Resultados!G18</f>
        <v>0</v>
      </c>
      <c r="J70" s="1045" t="str">
        <f>+Resultados!H18</f>
        <v/>
      </c>
      <c r="K70" s="222"/>
    </row>
    <row r="71" spans="1:11">
      <c r="A71" s="1277"/>
      <c r="B71" s="982"/>
      <c r="C71" s="877" t="str">
        <f>+Resultados!B19</f>
        <v>Gastos financieros</v>
      </c>
      <c r="D71" s="861"/>
      <c r="E71" s="1042">
        <f ca="1">+Resultados!C19</f>
        <v>0</v>
      </c>
      <c r="F71" s="1045" t="str">
        <f ca="1">+Resultados!D19</f>
        <v/>
      </c>
      <c r="G71" s="1042">
        <f ca="1">+Resultados!E19</f>
        <v>0</v>
      </c>
      <c r="H71" s="1045" t="str">
        <f ca="1">+Resultados!F19</f>
        <v/>
      </c>
      <c r="I71" s="1042">
        <f ca="1">+Resultados!G19</f>
        <v>0</v>
      </c>
      <c r="J71" s="1045" t="str">
        <f ca="1">+Resultados!H19</f>
        <v/>
      </c>
      <c r="K71" s="222"/>
    </row>
    <row r="72" spans="1:11" ht="6.75" customHeight="1">
      <c r="A72" s="1277"/>
      <c r="B72" s="982"/>
      <c r="C72" s="871"/>
      <c r="D72" s="861"/>
      <c r="E72" s="1043"/>
      <c r="F72" s="1043"/>
      <c r="G72" s="1043"/>
      <c r="H72" s="1043"/>
      <c r="I72" s="1043"/>
      <c r="J72" s="1043"/>
      <c r="K72" s="222"/>
    </row>
    <row r="73" spans="1:11">
      <c r="A73" s="1277"/>
      <c r="B73" s="982"/>
      <c r="C73" s="873" t="str">
        <f>+Resultados!B21</f>
        <v>Resultado antes impuestos</v>
      </c>
      <c r="D73" s="861"/>
      <c r="E73" s="1044">
        <f ca="1">+Resultados!C21</f>
        <v>0</v>
      </c>
      <c r="F73" s="1048" t="str">
        <f ca="1">+Resultados!D21</f>
        <v/>
      </c>
      <c r="G73" s="1044">
        <f ca="1">+Resultados!E21</f>
        <v>0</v>
      </c>
      <c r="H73" s="1048" t="str">
        <f ca="1">+Resultados!F21</f>
        <v/>
      </c>
      <c r="I73" s="1044">
        <f ca="1">+Resultados!G21</f>
        <v>0</v>
      </c>
      <c r="J73" s="1048" t="str">
        <f ca="1">+Resultados!H21</f>
        <v/>
      </c>
      <c r="K73" s="222"/>
    </row>
    <row r="74" spans="1:11" ht="6.75" customHeight="1">
      <c r="A74" s="1277"/>
      <c r="B74" s="982"/>
      <c r="C74" s="871"/>
      <c r="D74" s="861"/>
      <c r="E74" s="1043"/>
      <c r="F74" s="1043"/>
      <c r="G74" s="1043"/>
      <c r="H74" s="1043"/>
      <c r="I74" s="1043"/>
      <c r="J74" s="1043"/>
      <c r="K74" s="222"/>
    </row>
    <row r="75" spans="1:11">
      <c r="A75" s="1277"/>
      <c r="B75" s="982"/>
      <c r="C75" s="877" t="str">
        <f>+Resultados!B23</f>
        <v>Impuestos</v>
      </c>
      <c r="D75" s="861"/>
      <c r="E75" s="1049">
        <f ca="1">+Resultados!C23</f>
        <v>0</v>
      </c>
      <c r="F75" s="1043">
        <f>+Resultados!D23</f>
        <v>0</v>
      </c>
      <c r="G75" s="1049">
        <f ca="1">+Resultados!E23</f>
        <v>0</v>
      </c>
      <c r="H75" s="1043">
        <f>+Resultados!F23</f>
        <v>0</v>
      </c>
      <c r="I75" s="1049">
        <f ca="1">+Resultados!G23</f>
        <v>0</v>
      </c>
      <c r="J75" s="1043">
        <f>+Resultados!H23</f>
        <v>0</v>
      </c>
      <c r="K75" s="222"/>
    </row>
    <row r="76" spans="1:11" ht="6.75" customHeight="1">
      <c r="A76" s="1277"/>
      <c r="B76" s="982"/>
      <c r="C76" s="865"/>
      <c r="D76" s="861"/>
      <c r="E76" s="1050"/>
      <c r="F76" s="1050"/>
      <c r="G76" s="1050"/>
      <c r="H76" s="1050"/>
      <c r="I76" s="1050"/>
      <c r="J76" s="1050"/>
      <c r="K76" s="222"/>
    </row>
    <row r="77" spans="1:11">
      <c r="A77" s="1277"/>
      <c r="B77" s="982"/>
      <c r="C77" s="873" t="str">
        <f>+Resultados!B25</f>
        <v>Resultado después impuestos</v>
      </c>
      <c r="D77" s="861"/>
      <c r="E77" s="1044">
        <f ca="1">+Resultados!C25</f>
        <v>0</v>
      </c>
      <c r="F77" s="1048" t="str">
        <f ca="1">+Resultados!D25</f>
        <v/>
      </c>
      <c r="G77" s="1044">
        <f ca="1">+Resultados!E25</f>
        <v>0</v>
      </c>
      <c r="H77" s="1048" t="str">
        <f ca="1">+Resultados!F25</f>
        <v/>
      </c>
      <c r="I77" s="1044">
        <f ca="1">+Resultados!G25</f>
        <v>0</v>
      </c>
      <c r="J77" s="1048" t="str">
        <f ca="1">+Resultados!H25</f>
        <v/>
      </c>
      <c r="K77" s="222"/>
    </row>
    <row r="78" spans="1:11" ht="5.25" customHeight="1">
      <c r="A78" s="1277"/>
      <c r="B78" s="982"/>
      <c r="C78" s="865"/>
      <c r="D78" s="861"/>
      <c r="E78" s="1050"/>
      <c r="F78" s="1050"/>
      <c r="G78" s="1050"/>
      <c r="H78" s="1050"/>
      <c r="I78" s="1050"/>
      <c r="J78" s="1047"/>
      <c r="K78" s="222"/>
    </row>
    <row r="79" spans="1:11">
      <c r="A79" s="1277"/>
      <c r="B79" s="982"/>
      <c r="C79" s="873" t="str">
        <f>+Resultados!B27</f>
        <v>Punto de equilibrio</v>
      </c>
      <c r="D79" s="861"/>
      <c r="E79" s="1051">
        <f ca="1">IF(ISERROR(+Resultados!C27),"",(+Resultados!C27))</f>
        <v>0</v>
      </c>
      <c r="F79" s="1052">
        <f>+Resultados!D27</f>
        <v>0</v>
      </c>
      <c r="G79" s="1051">
        <f ca="1">IF(ISERROR(+Resultados!E27),"",(+Resultados!E27))</f>
        <v>0</v>
      </c>
      <c r="H79" s="1050">
        <f>+Resultados!F27</f>
        <v>0</v>
      </c>
      <c r="I79" s="1051">
        <f ca="1">IF(ISERROR(+Resultados!G27),"",(+Resultados!G27))</f>
        <v>0</v>
      </c>
      <c r="J79" s="1047"/>
      <c r="K79" s="222"/>
    </row>
    <row r="80" spans="1:11">
      <c r="C80" s="914"/>
      <c r="D80" s="863"/>
      <c r="E80" s="878"/>
      <c r="F80" s="890"/>
      <c r="G80" s="878"/>
      <c r="H80" s="865"/>
      <c r="I80" s="878"/>
      <c r="J80" s="866"/>
      <c r="K80" s="222"/>
    </row>
    <row r="81" spans="1:12" ht="30.75">
      <c r="A81" s="1278" t="s">
        <v>902</v>
      </c>
      <c r="B81" s="983"/>
      <c r="C81" s="915" t="s">
        <v>353</v>
      </c>
      <c r="D81" s="864" t="str">
        <f>+Balance!B1</f>
        <v>BALANCE INICIAL</v>
      </c>
      <c r="E81" s="916">
        <f>+Balance!D1</f>
        <v>44531</v>
      </c>
      <c r="F81" s="916">
        <f>+Balance!F1</f>
        <v>44896</v>
      </c>
      <c r="G81" s="916">
        <f>+Balance!H1</f>
        <v>45261</v>
      </c>
      <c r="H81" s="221" t="s">
        <v>46</v>
      </c>
      <c r="I81" s="861"/>
      <c r="J81" s="861"/>
      <c r="K81" s="861"/>
      <c r="L81" s="990"/>
    </row>
    <row r="82" spans="1:12">
      <c r="A82" s="1278"/>
      <c r="B82" s="983"/>
      <c r="C82" s="879" t="str">
        <f>+Balance!A2</f>
        <v>ACTIVO</v>
      </c>
      <c r="D82" s="1053"/>
      <c r="E82" s="1053"/>
      <c r="F82" s="1053"/>
      <c r="G82" s="1053"/>
      <c r="H82" s="1054"/>
      <c r="I82" s="863"/>
      <c r="J82" s="861"/>
      <c r="K82" s="861"/>
      <c r="L82" s="990"/>
    </row>
    <row r="83" spans="1:12">
      <c r="A83" s="1278"/>
      <c r="B83" s="983"/>
      <c r="C83" s="880" t="str">
        <f>+Balance!A3</f>
        <v>ACTIVO NO CORRIENTE</v>
      </c>
      <c r="D83" s="1055">
        <f ca="1">+Balance!B3</f>
        <v>0</v>
      </c>
      <c r="E83" s="1055">
        <f ca="1">+Balance!D3</f>
        <v>0</v>
      </c>
      <c r="F83" s="1055">
        <f ca="1">+Balance!F3</f>
        <v>0</v>
      </c>
      <c r="G83" s="1055">
        <f ca="1">+Balance!H3</f>
        <v>0</v>
      </c>
      <c r="H83" s="1039" t="str">
        <f ca="1">IF(ISERROR(+G83/#REF!),"",(+G83/#REF!))</f>
        <v/>
      </c>
      <c r="I83" s="863"/>
      <c r="J83" s="861"/>
      <c r="K83" s="861"/>
      <c r="L83" s="990"/>
    </row>
    <row r="84" spans="1:12" ht="18.75" hidden="1" customHeight="1">
      <c r="A84" s="1278"/>
      <c r="B84" s="983"/>
      <c r="C84" s="884" t="str">
        <f>+Balance!A4</f>
        <v>Inmovilizado intangible</v>
      </c>
      <c r="D84" s="1056">
        <f ca="1">+Balance!B4</f>
        <v>0</v>
      </c>
      <c r="E84" s="1056">
        <f ca="1">+Balance!D4</f>
        <v>0</v>
      </c>
      <c r="F84" s="1056">
        <f ca="1">+Balance!F4</f>
        <v>0</v>
      </c>
      <c r="G84" s="1056">
        <f ca="1">+Balance!H4</f>
        <v>0</v>
      </c>
      <c r="H84" s="1054"/>
      <c r="I84" s="863"/>
      <c r="J84" s="861"/>
      <c r="K84" s="861"/>
      <c r="L84" s="990"/>
    </row>
    <row r="85" spans="1:12" ht="18.75" hidden="1" customHeight="1">
      <c r="A85" s="1278"/>
      <c r="B85" s="983"/>
      <c r="C85" s="884" t="str">
        <f>+Balance!A10</f>
        <v>Inmovilizado tangible</v>
      </c>
      <c r="D85" s="1056">
        <f ca="1">+Balance!B10</f>
        <v>0</v>
      </c>
      <c r="E85" s="1056">
        <f ca="1">+Balance!D10</f>
        <v>0</v>
      </c>
      <c r="F85" s="1056">
        <f ca="1">+Balance!F10</f>
        <v>0</v>
      </c>
      <c r="G85" s="1056">
        <f ca="1">+Balance!H10</f>
        <v>0</v>
      </c>
      <c r="H85" s="1054"/>
      <c r="I85" s="863"/>
      <c r="J85" s="861"/>
      <c r="K85" s="861"/>
      <c r="L85" s="990"/>
    </row>
    <row r="86" spans="1:12" ht="18.75" hidden="1" customHeight="1">
      <c r="A86" s="1278"/>
      <c r="B86" s="983"/>
      <c r="C86" s="884" t="str">
        <f>+Balance!A20</f>
        <v>Inversiones financieras</v>
      </c>
      <c r="D86" s="1056">
        <f ca="1">+Balance!B20</f>
        <v>0</v>
      </c>
      <c r="E86" s="1056">
        <f ca="1">+Balance!D20</f>
        <v>0</v>
      </c>
      <c r="F86" s="1056">
        <f ca="1">+Balance!F20</f>
        <v>0</v>
      </c>
      <c r="G86" s="1056">
        <f ca="1">+Balance!H20</f>
        <v>0</v>
      </c>
      <c r="H86" s="1054"/>
      <c r="I86" s="863"/>
      <c r="J86" s="861"/>
      <c r="K86" s="861"/>
      <c r="L86" s="990"/>
    </row>
    <row r="87" spans="1:12">
      <c r="A87" s="1278"/>
      <c r="B87" s="983"/>
      <c r="C87" s="880" t="str">
        <f>+Balance!A22</f>
        <v>ACTIVO CORRIENTE</v>
      </c>
      <c r="D87" s="1055">
        <f ca="1">+Balance!B22</f>
        <v>0</v>
      </c>
      <c r="E87" s="1055">
        <f ca="1">+Balance!D22</f>
        <v>0</v>
      </c>
      <c r="F87" s="1055">
        <f ca="1">+Balance!F22</f>
        <v>0</v>
      </c>
      <c r="G87" s="1055">
        <f ca="1">+Balance!H22</f>
        <v>0</v>
      </c>
      <c r="H87" s="1039" t="str">
        <f ca="1">IF(ISERROR(+G87/#REF!),"",(+G87/#REF!))</f>
        <v/>
      </c>
      <c r="I87" s="863"/>
      <c r="J87" s="861"/>
      <c r="K87" s="861"/>
      <c r="L87" s="990"/>
    </row>
    <row r="88" spans="1:12">
      <c r="A88" s="1278"/>
      <c r="B88" s="983"/>
      <c r="C88" s="884" t="str">
        <f>+Balance!A23</f>
        <v>Existencias</v>
      </c>
      <c r="D88" s="1057">
        <f ca="1">+Balance!B23</f>
        <v>0</v>
      </c>
      <c r="E88" s="1058">
        <f ca="1">+Balance!D23</f>
        <v>0</v>
      </c>
      <c r="F88" s="1058">
        <f ca="1">+Balance!F23</f>
        <v>0</v>
      </c>
      <c r="G88" s="1058">
        <f ca="1">+Balance!H23</f>
        <v>0</v>
      </c>
      <c r="H88" s="1059"/>
      <c r="I88" s="863"/>
      <c r="J88" s="861"/>
      <c r="K88" s="861"/>
      <c r="L88" s="990"/>
    </row>
    <row r="89" spans="1:12">
      <c r="A89" s="1278"/>
      <c r="B89" s="983"/>
      <c r="C89" s="884" t="str">
        <f>+Balance!A24</f>
        <v>Deudores</v>
      </c>
      <c r="D89" s="1057">
        <f ca="1">+Balance!B24</f>
        <v>0</v>
      </c>
      <c r="E89" s="1057">
        <f ca="1">+Balance!D24</f>
        <v>0</v>
      </c>
      <c r="F89" s="1057">
        <f ca="1">+Balance!F24</f>
        <v>0</v>
      </c>
      <c r="G89" s="1057">
        <f ca="1">+Balance!H24</f>
        <v>0</v>
      </c>
      <c r="H89" s="1059"/>
      <c r="I89" s="861"/>
      <c r="J89" s="861"/>
      <c r="K89" s="861"/>
      <c r="L89" s="990"/>
    </row>
    <row r="90" spans="1:12">
      <c r="A90" s="1278"/>
      <c r="B90" s="983"/>
      <c r="C90" s="884" t="str">
        <f>+Balance!A29</f>
        <v>Tesorería</v>
      </c>
      <c r="D90" s="1056">
        <f>+Balance!B29</f>
        <v>0</v>
      </c>
      <c r="E90" s="1056">
        <f ca="1">+Balance!D29</f>
        <v>0</v>
      </c>
      <c r="F90" s="1056">
        <f ca="1">+Balance!F29</f>
        <v>0</v>
      </c>
      <c r="G90" s="1056">
        <f ca="1">+Balance!H29</f>
        <v>0</v>
      </c>
      <c r="H90" s="1054"/>
      <c r="I90" s="861"/>
      <c r="J90" s="861"/>
      <c r="K90" s="861"/>
      <c r="L90" s="990"/>
    </row>
    <row r="91" spans="1:12">
      <c r="A91" s="1278"/>
      <c r="B91" s="983"/>
      <c r="C91" s="889" t="str">
        <f>+Balance!A30</f>
        <v>TOTAL ACTIVO</v>
      </c>
      <c r="D91" s="1055">
        <f ca="1">+D83+D87</f>
        <v>0</v>
      </c>
      <c r="E91" s="1055">
        <f ca="1">+Balance!D30</f>
        <v>0</v>
      </c>
      <c r="F91" s="1055">
        <f ca="1">+Balance!F30</f>
        <v>0</v>
      </c>
      <c r="G91" s="1055">
        <f ca="1">+Balance!H30</f>
        <v>0</v>
      </c>
      <c r="H91" s="1039" t="str">
        <f ca="1">IF(ISERROR(+G91/#REF!),"",(+G91/#REF!))</f>
        <v/>
      </c>
      <c r="I91" s="861"/>
      <c r="J91" s="861"/>
      <c r="K91" s="861"/>
      <c r="L91" s="990"/>
    </row>
    <row r="92" spans="1:12">
      <c r="A92" s="1278"/>
      <c r="B92" s="983"/>
      <c r="C92" s="879" t="s">
        <v>356</v>
      </c>
      <c r="D92" s="1056"/>
      <c r="E92" s="1056"/>
      <c r="F92" s="1056"/>
      <c r="G92" s="1056"/>
      <c r="H92" s="1054"/>
      <c r="I92" s="861"/>
      <c r="J92" s="861"/>
      <c r="K92" s="861"/>
      <c r="L92" s="990"/>
    </row>
    <row r="93" spans="1:12">
      <c r="A93" s="1278"/>
      <c r="B93" s="983"/>
      <c r="C93" s="880" t="str">
        <f>+Balance!A33</f>
        <v>PATRIMONIO NETO</v>
      </c>
      <c r="D93" s="1055">
        <f ca="1">+Balance!B33</f>
        <v>0</v>
      </c>
      <c r="E93" s="1055">
        <f ca="1">+Balance!D33</f>
        <v>0</v>
      </c>
      <c r="F93" s="1055">
        <f ca="1">+Balance!F33</f>
        <v>0</v>
      </c>
      <c r="G93" s="1055">
        <f ca="1">+Balance!H33</f>
        <v>0</v>
      </c>
      <c r="H93" s="1039" t="str">
        <f ca="1">IF(ISERROR(+G93/#REF!),"",(+G93/#REF!))</f>
        <v/>
      </c>
      <c r="I93" s="861"/>
      <c r="J93" s="861"/>
      <c r="K93" s="861"/>
      <c r="L93" s="990"/>
    </row>
    <row r="94" spans="1:12" ht="18.75" hidden="1" customHeight="1">
      <c r="A94" s="1278"/>
      <c r="B94" s="983"/>
      <c r="C94" s="884" t="str">
        <f>+Balance!A34</f>
        <v>Capital</v>
      </c>
      <c r="D94" s="1056">
        <f ca="1">+Balance!B34</f>
        <v>0</v>
      </c>
      <c r="E94" s="1056">
        <f ca="1">+Balance!D34</f>
        <v>0</v>
      </c>
      <c r="F94" s="1056">
        <f ca="1">+Balance!F34</f>
        <v>0</v>
      </c>
      <c r="G94" s="1056">
        <f ca="1">+Balance!H34</f>
        <v>0</v>
      </c>
      <c r="H94" s="1054"/>
      <c r="I94" s="861"/>
      <c r="J94" s="861"/>
      <c r="K94" s="861"/>
      <c r="L94" s="990"/>
    </row>
    <row r="95" spans="1:12" ht="18.75" hidden="1" customHeight="1">
      <c r="A95" s="1278"/>
      <c r="B95" s="983"/>
      <c r="C95" s="884" t="str">
        <f>+Balance!A35</f>
        <v>Capitalización paro</v>
      </c>
      <c r="D95" s="1056">
        <f ca="1">+Balance!B35</f>
        <v>0</v>
      </c>
      <c r="E95" s="1056">
        <f ca="1">+Balance!D35</f>
        <v>0</v>
      </c>
      <c r="F95" s="1056">
        <f ca="1">+Balance!F35</f>
        <v>0</v>
      </c>
      <c r="G95" s="1056">
        <f ca="1">+Balance!H35</f>
        <v>0</v>
      </c>
      <c r="H95" s="1054"/>
      <c r="I95" s="861" t="s">
        <v>46</v>
      </c>
      <c r="J95" s="861"/>
      <c r="K95" s="861"/>
      <c r="L95" s="990"/>
    </row>
    <row r="96" spans="1:12" ht="18.75" hidden="1" customHeight="1">
      <c r="A96" s="1278"/>
      <c r="B96" s="983"/>
      <c r="C96" s="884" t="str">
        <f>+Balance!A36</f>
        <v>Aportación socios</v>
      </c>
      <c r="D96" s="1056">
        <f ca="1">+Balance!B36</f>
        <v>0</v>
      </c>
      <c r="E96" s="1056">
        <f ca="1">+Balance!D36</f>
        <v>0</v>
      </c>
      <c r="F96" s="1056">
        <f ca="1">+Balance!F36</f>
        <v>0</v>
      </c>
      <c r="G96" s="1056">
        <f ca="1">+Balance!H36</f>
        <v>0</v>
      </c>
      <c r="H96" s="1054"/>
      <c r="I96" s="861"/>
      <c r="J96" s="861"/>
      <c r="K96" s="861"/>
      <c r="L96" s="990"/>
    </row>
    <row r="97" spans="1:12" ht="18.75" hidden="1" customHeight="1">
      <c r="A97" s="1278"/>
      <c r="B97" s="983"/>
      <c r="C97" s="884" t="str">
        <f>+Balance!A37</f>
        <v>Reservas</v>
      </c>
      <c r="D97" s="1056">
        <f ca="1">+Balance!B37</f>
        <v>0</v>
      </c>
      <c r="E97" s="1056">
        <f ca="1">+Balance!D37</f>
        <v>0</v>
      </c>
      <c r="F97" s="1056">
        <f ca="1">+Balance!F37</f>
        <v>0</v>
      </c>
      <c r="G97" s="1056">
        <f ca="1">+Balance!H37</f>
        <v>0</v>
      </c>
      <c r="H97" s="1054"/>
      <c r="I97" s="861"/>
      <c r="J97" s="861"/>
      <c r="K97" s="861"/>
      <c r="L97" s="990"/>
    </row>
    <row r="98" spans="1:12" ht="18.75" hidden="1" customHeight="1">
      <c r="A98" s="1278"/>
      <c r="B98" s="983"/>
      <c r="C98" s="884" t="str">
        <f>+Balance!A38</f>
        <v>Resultados</v>
      </c>
      <c r="D98" s="1056">
        <f>+Balance!B38</f>
        <v>0</v>
      </c>
      <c r="E98" s="1056">
        <f ca="1">+Balance!D38</f>
        <v>0</v>
      </c>
      <c r="F98" s="1056">
        <f ca="1">+Balance!F38</f>
        <v>0</v>
      </c>
      <c r="G98" s="1056">
        <f ca="1">+Balance!H38</f>
        <v>0</v>
      </c>
      <c r="H98" s="1054"/>
      <c r="I98" s="861"/>
      <c r="J98" s="861"/>
      <c r="K98" s="861"/>
      <c r="L98" s="990"/>
    </row>
    <row r="99" spans="1:12" ht="18.75" hidden="1" customHeight="1">
      <c r="A99" s="1278"/>
      <c r="B99" s="983"/>
      <c r="C99" s="884" t="str">
        <f>+Balance!A39</f>
        <v>Subvenciones</v>
      </c>
      <c r="D99" s="1056">
        <f ca="1">+Balance!B39</f>
        <v>0</v>
      </c>
      <c r="E99" s="1056">
        <f ca="1">+Balance!D39</f>
        <v>0</v>
      </c>
      <c r="F99" s="1056">
        <f ca="1">+Balance!F39</f>
        <v>0</v>
      </c>
      <c r="G99" s="1056">
        <f ca="1">+Balance!H39</f>
        <v>0</v>
      </c>
      <c r="H99" s="1054"/>
      <c r="I99" s="861"/>
      <c r="J99" s="861"/>
      <c r="K99" s="861"/>
      <c r="L99" s="990"/>
    </row>
    <row r="100" spans="1:12">
      <c r="A100" s="1278"/>
      <c r="B100" s="983"/>
      <c r="C100" s="880" t="str">
        <f>+Balance!A40</f>
        <v>PASIVO NO CORRIENTE</v>
      </c>
      <c r="D100" s="1055">
        <f ca="1">+Balance!B40</f>
        <v>0</v>
      </c>
      <c r="E100" s="1055">
        <f ca="1">+Balance!D40</f>
        <v>0</v>
      </c>
      <c r="F100" s="1055">
        <f ca="1">+Balance!F40</f>
        <v>0</v>
      </c>
      <c r="G100" s="1055">
        <f ca="1">+Balance!H40</f>
        <v>0</v>
      </c>
      <c r="H100" s="1039" t="str">
        <f ca="1">IF(ISERROR(+G100/#REF!),"",(+G100/#REF!))</f>
        <v/>
      </c>
      <c r="I100" s="861"/>
      <c r="J100" s="861" t="s">
        <v>46</v>
      </c>
      <c r="K100" s="861"/>
      <c r="L100" s="990"/>
    </row>
    <row r="101" spans="1:12" ht="18.75" hidden="1" customHeight="1">
      <c r="A101" s="1278"/>
      <c r="B101" s="983"/>
      <c r="C101" s="890" t="str">
        <f>+Balance!A41</f>
        <v>Préstamo</v>
      </c>
      <c r="D101" s="1056">
        <f ca="1">+Balance!B41</f>
        <v>0</v>
      </c>
      <c r="E101" s="1056">
        <f ca="1">+Balance!D41</f>
        <v>0</v>
      </c>
      <c r="F101" s="1056">
        <f ca="1">+Balance!F41</f>
        <v>0</v>
      </c>
      <c r="G101" s="1056">
        <f ca="1">+Balance!H41</f>
        <v>0</v>
      </c>
      <c r="H101" s="1054"/>
      <c r="I101" s="861"/>
      <c r="J101" s="861"/>
      <c r="K101" s="861"/>
      <c r="L101" s="990"/>
    </row>
    <row r="102" spans="1:12" s="168" customFormat="1">
      <c r="A102" s="1278"/>
      <c r="B102" s="983"/>
      <c r="C102" s="880" t="str">
        <f>+Balance!A42</f>
        <v>PASIVO CORRIENTE</v>
      </c>
      <c r="D102" s="1055">
        <f ca="1">+Balance!B42</f>
        <v>0</v>
      </c>
      <c r="E102" s="1055">
        <f ca="1">+Balance!D42</f>
        <v>0</v>
      </c>
      <c r="F102" s="1055">
        <f ca="1">+Balance!F42</f>
        <v>0</v>
      </c>
      <c r="G102" s="1055">
        <f ca="1">+Balance!H42</f>
        <v>0</v>
      </c>
      <c r="H102" s="1039" t="str">
        <f ca="1">IF(ISERROR(+G102/#REF!),"",(+G102/#REF!))</f>
        <v/>
      </c>
      <c r="I102" s="861"/>
      <c r="J102" s="861"/>
      <c r="K102" s="861"/>
      <c r="L102" s="989"/>
    </row>
    <row r="103" spans="1:12" s="168" customFormat="1">
      <c r="A103" s="1278"/>
      <c r="B103" s="983"/>
      <c r="C103" s="884" t="str">
        <f>+Balance!A43</f>
        <v>Préstamo corto plazo</v>
      </c>
      <c r="D103" s="1056">
        <f ca="1">+Balance!B43</f>
        <v>0</v>
      </c>
      <c r="E103" s="1056">
        <f ca="1">+Balance!D43</f>
        <v>0</v>
      </c>
      <c r="F103" s="1056">
        <f ca="1">+Balance!F43</f>
        <v>0</v>
      </c>
      <c r="G103" s="1056">
        <f ca="1">+Balance!H43</f>
        <v>0</v>
      </c>
      <c r="H103" s="1054"/>
      <c r="I103" s="861"/>
      <c r="J103" s="861"/>
      <c r="K103" s="861"/>
      <c r="L103" s="989"/>
    </row>
    <row r="104" spans="1:12" s="168" customFormat="1">
      <c r="A104" s="1278"/>
      <c r="B104" s="983"/>
      <c r="C104" s="884" t="str">
        <f>+Balance!A44</f>
        <v>Proveedores</v>
      </c>
      <c r="D104" s="1056">
        <f ca="1">+Balance!B44</f>
        <v>0</v>
      </c>
      <c r="E104" s="1056">
        <f ca="1">+Balance!D44</f>
        <v>0</v>
      </c>
      <c r="F104" s="1056">
        <f ca="1">+Balance!F44</f>
        <v>0</v>
      </c>
      <c r="G104" s="1056">
        <f ca="1">+Balance!H44</f>
        <v>0</v>
      </c>
      <c r="H104" s="1054"/>
      <c r="I104" s="861"/>
      <c r="J104" s="861"/>
      <c r="K104" s="861"/>
      <c r="L104" s="989"/>
    </row>
    <row r="105" spans="1:12" s="168" customFormat="1">
      <c r="A105" s="1278"/>
      <c r="B105" s="983"/>
      <c r="C105" s="884" t="str">
        <f>+Balance!A45</f>
        <v>Acreedores / Hda. Pública</v>
      </c>
      <c r="D105" s="1056">
        <f>+Balance!B45</f>
        <v>0</v>
      </c>
      <c r="E105" s="1056">
        <f ca="1">+Balance!D45</f>
        <v>0</v>
      </c>
      <c r="F105" s="1056">
        <f ca="1">+Balance!F45</f>
        <v>0</v>
      </c>
      <c r="G105" s="1056">
        <f ca="1">+Balance!H45</f>
        <v>0</v>
      </c>
      <c r="H105" s="1054"/>
      <c r="I105" s="861"/>
      <c r="J105" s="861"/>
      <c r="K105" s="861"/>
      <c r="L105" s="989"/>
    </row>
    <row r="106" spans="1:12" s="168" customFormat="1">
      <c r="A106" s="1278"/>
      <c r="B106" s="983"/>
      <c r="C106" s="889" t="str">
        <f>+Balance!A51</f>
        <v>TOTAL P.N. Y PASIVO</v>
      </c>
      <c r="D106" s="1055">
        <f ca="1">+D93+D100+D102</f>
        <v>0</v>
      </c>
      <c r="E106" s="1055">
        <f ca="1">+E93+E100+E102</f>
        <v>0</v>
      </c>
      <c r="F106" s="1055">
        <f ca="1">+F93+F100+F102</f>
        <v>0</v>
      </c>
      <c r="G106" s="1055">
        <f ca="1">+G93+G100+G102</f>
        <v>0</v>
      </c>
      <c r="H106" s="1039" t="str">
        <f ca="1">IF(ISERROR(+G106/#REF!),"",(+G106/#REF!))</f>
        <v/>
      </c>
      <c r="I106" s="861"/>
      <c r="J106" s="861"/>
      <c r="K106" s="861"/>
      <c r="L106" s="989"/>
    </row>
    <row r="107" spans="1:12" s="168" customFormat="1">
      <c r="A107" s="984"/>
      <c r="B107" s="858"/>
      <c r="C107" s="863"/>
      <c r="D107" s="863"/>
      <c r="E107" s="863"/>
      <c r="F107" s="863"/>
      <c r="G107" s="863"/>
      <c r="H107" s="863"/>
      <c r="I107" s="863"/>
      <c r="J107" s="221"/>
      <c r="K107" s="221"/>
      <c r="L107" s="989"/>
    </row>
    <row r="108" spans="1:12" s="168" customFormat="1">
      <c r="A108" s="1278" t="s">
        <v>111</v>
      </c>
      <c r="B108" s="983"/>
      <c r="C108" s="1292" t="s">
        <v>345</v>
      </c>
      <c r="D108" s="1292"/>
      <c r="E108" s="917">
        <f>+E54</f>
        <v>2021</v>
      </c>
      <c r="F108" s="917">
        <f>+G54</f>
        <v>2022</v>
      </c>
      <c r="G108" s="917">
        <f>+I54</f>
        <v>2023</v>
      </c>
      <c r="H108" s="222"/>
      <c r="I108" s="222"/>
      <c r="J108" s="221"/>
      <c r="K108" s="221"/>
      <c r="L108" s="989"/>
    </row>
    <row r="109" spans="1:12" s="168" customFormat="1">
      <c r="A109" s="1278"/>
      <c r="B109" s="983"/>
      <c r="C109" s="863" t="str">
        <f>+'Tesorería mensual'!B3</f>
        <v>Financiación / Aportación socios</v>
      </c>
      <c r="D109" s="863"/>
      <c r="E109" s="1060">
        <f>SUM('Tesorería mensual'!C3:N3)</f>
        <v>0</v>
      </c>
      <c r="F109" s="1060">
        <f>SUM('Tesorería mensual'!O3:Z3)</f>
        <v>0</v>
      </c>
      <c r="G109" s="1060">
        <f>SUM('Tesorería mensual'!AA3:AL3)</f>
        <v>0</v>
      </c>
      <c r="H109" s="1061"/>
      <c r="I109" s="1061"/>
      <c r="J109" s="221"/>
      <c r="K109" s="221"/>
      <c r="L109" s="989"/>
    </row>
    <row r="110" spans="1:12" s="168" customFormat="1">
      <c r="A110" s="1278"/>
      <c r="B110" s="983"/>
      <c r="C110" s="863" t="str">
        <f>+'Tesorería mensual'!B4</f>
        <v>Ventas</v>
      </c>
      <c r="D110" s="863"/>
      <c r="E110" s="1060">
        <f>SUM('Tesorería mensual'!C4:N4)</f>
        <v>0</v>
      </c>
      <c r="F110" s="1060">
        <f>SUM('Tesorería mensual'!O4:Z4)</f>
        <v>0</v>
      </c>
      <c r="G110" s="1060">
        <f>SUM('Tesorería mensual'!AA4:AL4)</f>
        <v>0</v>
      </c>
      <c r="H110" s="1061"/>
      <c r="I110" s="1061" t="s">
        <v>46</v>
      </c>
      <c r="J110" s="221"/>
      <c r="K110" s="221"/>
      <c r="L110" s="989"/>
    </row>
    <row r="111" spans="1:12" s="168" customFormat="1">
      <c r="A111" s="1278"/>
      <c r="B111" s="983"/>
      <c r="C111" s="914" t="str">
        <f>+'Tesorería mensual'!B5</f>
        <v>Total Cobros</v>
      </c>
      <c r="D111" s="863"/>
      <c r="E111" s="1062">
        <f>SUM('Tesorería mensual'!C5:N5)</f>
        <v>0</v>
      </c>
      <c r="F111" s="1062">
        <f>SUM('Tesorería mensual'!O5:Z5)</f>
        <v>0</v>
      </c>
      <c r="G111" s="1062">
        <f>SUM('Tesorería mensual'!AA5:AL5)</f>
        <v>0</v>
      </c>
      <c r="H111" s="1061"/>
      <c r="I111" s="1061"/>
      <c r="J111" s="221"/>
      <c r="K111" s="221"/>
      <c r="L111" s="989"/>
    </row>
    <row r="112" spans="1:12" ht="11.25" customHeight="1">
      <c r="A112" s="1278"/>
      <c r="B112" s="983"/>
      <c r="C112" s="222"/>
      <c r="D112" s="863"/>
      <c r="E112" s="1061"/>
      <c r="F112" s="1061"/>
      <c r="G112" s="1061"/>
      <c r="H112" s="1061"/>
      <c r="I112" s="1061"/>
      <c r="J112" s="221"/>
      <c r="K112" s="221"/>
    </row>
    <row r="113" spans="1:12" ht="10.5" customHeight="1">
      <c r="A113" s="1278"/>
      <c r="B113" s="983"/>
      <c r="C113" s="222"/>
      <c r="D113" s="863"/>
      <c r="E113" s="1061"/>
      <c r="F113" s="1061"/>
      <c r="G113" s="1061"/>
      <c r="H113" s="1061"/>
      <c r="I113" s="222"/>
      <c r="J113" s="221"/>
      <c r="K113" s="221"/>
    </row>
    <row r="114" spans="1:12" ht="19.5" customHeight="1">
      <c r="A114" s="1278"/>
      <c r="B114" s="983"/>
      <c r="C114" s="891" t="str">
        <f>+'Tesorería mensual'!B43</f>
        <v>TOTAL PAGOS</v>
      </c>
      <c r="D114" s="863"/>
      <c r="E114" s="1062">
        <f ca="1">SUM('Tesorería mensual'!C43:N43)</f>
        <v>0</v>
      </c>
      <c r="F114" s="1062">
        <f ca="1">SUM('Tesorería mensual'!O43:Z43)</f>
        <v>0</v>
      </c>
      <c r="G114" s="1062">
        <f ca="1">SUM('Tesorería mensual'!AA43:AL43)</f>
        <v>0</v>
      </c>
      <c r="H114" s="1061"/>
      <c r="I114" s="222"/>
      <c r="J114" s="221"/>
      <c r="K114" s="221"/>
      <c r="L114" s="989" t="s">
        <v>46</v>
      </c>
    </row>
    <row r="115" spans="1:12" ht="10.5" customHeight="1">
      <c r="A115" s="1278"/>
      <c r="B115" s="983"/>
      <c r="C115" s="222"/>
      <c r="D115" s="863"/>
      <c r="E115" s="1061"/>
      <c r="F115" s="1061"/>
      <c r="G115" s="1061"/>
      <c r="H115" s="1061"/>
      <c r="I115" s="222"/>
      <c r="J115" s="221"/>
      <c r="K115" s="221"/>
    </row>
    <row r="116" spans="1:12" ht="19.5" customHeight="1">
      <c r="A116" s="1278"/>
      <c r="B116" s="983"/>
      <c r="C116" s="891" t="str">
        <f>+'Tesorería mensual'!B45</f>
        <v>SALDO INICIAL</v>
      </c>
      <c r="D116" s="863"/>
      <c r="E116" s="1060">
        <f>+'Tesorería mensual'!C45</f>
        <v>0</v>
      </c>
      <c r="F116" s="1060">
        <f ca="1">+E118</f>
        <v>0</v>
      </c>
      <c r="G116" s="1060">
        <f ca="1">+F118</f>
        <v>0</v>
      </c>
      <c r="H116" s="1061"/>
      <c r="I116" s="222"/>
      <c r="J116" s="221"/>
      <c r="K116" s="221"/>
    </row>
    <row r="117" spans="1:12" ht="19.5" customHeight="1">
      <c r="A117" s="1278"/>
      <c r="B117" s="983"/>
      <c r="C117" s="891" t="str">
        <f>+'Tesorería mensual'!B46</f>
        <v>COBROS - PAGOS</v>
      </c>
      <c r="D117" s="863"/>
      <c r="E117" s="1060">
        <f ca="1">+E111+E114</f>
        <v>0</v>
      </c>
      <c r="F117" s="1060">
        <f ca="1">+F111+F114</f>
        <v>0</v>
      </c>
      <c r="G117" s="1060">
        <f ca="1">+G111+G114</f>
        <v>0</v>
      </c>
      <c r="H117" s="1061"/>
      <c r="I117" s="222"/>
      <c r="J117" s="221"/>
      <c r="K117" s="221"/>
    </row>
    <row r="118" spans="1:12" ht="19.5" customHeight="1">
      <c r="A118" s="1278"/>
      <c r="B118" s="983"/>
      <c r="C118" s="891" t="str">
        <f>+'Tesorería mensual'!B47</f>
        <v>SALDO FINAL</v>
      </c>
      <c r="D118" s="863"/>
      <c r="E118" s="1063">
        <f ca="1">+E116+E117</f>
        <v>0</v>
      </c>
      <c r="F118" s="1063">
        <f ca="1">+F116+F117</f>
        <v>0</v>
      </c>
      <c r="G118" s="1063">
        <f ca="1">+G116+G117</f>
        <v>0</v>
      </c>
      <c r="H118" s="1061"/>
      <c r="I118" s="222"/>
      <c r="J118" s="221"/>
      <c r="K118" s="221"/>
    </row>
    <row r="119" spans="1:12">
      <c r="C119" s="222"/>
      <c r="D119" s="222"/>
      <c r="E119" s="222"/>
      <c r="F119" s="222"/>
      <c r="G119" s="222"/>
      <c r="H119" s="222"/>
      <c r="I119" s="222"/>
      <c r="J119" s="222"/>
      <c r="K119" s="222"/>
      <c r="L119" s="990"/>
    </row>
    <row r="120" spans="1:12" s="168" customFormat="1">
      <c r="A120" s="1278" t="s">
        <v>677</v>
      </c>
      <c r="B120" s="983"/>
      <c r="C120" s="897"/>
      <c r="D120" s="1303" t="str">
        <f>Cuestionario!C74</f>
        <v>De origen Interno</v>
      </c>
      <c r="E120" s="1303"/>
      <c r="F120" s="1303"/>
      <c r="G120" s="1303"/>
      <c r="H120" s="1304" t="str">
        <f>Cuestionario!G74</f>
        <v>De origen externo</v>
      </c>
      <c r="I120" s="1304"/>
      <c r="J120" s="898"/>
      <c r="K120" s="898"/>
      <c r="L120" s="989"/>
    </row>
    <row r="121" spans="1:12" s="168" customFormat="1" ht="19.5" thickBot="1">
      <c r="A121" s="1278"/>
      <c r="B121" s="983"/>
      <c r="C121" s="897"/>
      <c r="D121" s="1302" t="str">
        <f>Cuestionario!C75</f>
        <v>Debilidades</v>
      </c>
      <c r="E121" s="1302"/>
      <c r="F121" s="1302"/>
      <c r="G121" s="1302"/>
      <c r="H121" s="1302" t="str">
        <f>Cuestionario!G75</f>
        <v>Amenazas</v>
      </c>
      <c r="I121" s="1302"/>
      <c r="J121" s="1302"/>
      <c r="K121" s="898"/>
      <c r="L121" s="989"/>
    </row>
    <row r="122" spans="1:12" s="168" customFormat="1" ht="86.25" customHeight="1" thickBot="1">
      <c r="A122" s="1278"/>
      <c r="B122" s="983"/>
      <c r="C122" s="899" t="str">
        <f>Cuestionario!B76</f>
        <v>Puntos débiles</v>
      </c>
      <c r="D122" s="1323">
        <f>Cuestionario!C76</f>
        <v>1</v>
      </c>
      <c r="E122" s="1324"/>
      <c r="F122" s="1324"/>
      <c r="G122" s="1325"/>
      <c r="H122" s="1323">
        <f>Cuestionario!G76</f>
        <v>2</v>
      </c>
      <c r="I122" s="1326"/>
      <c r="J122" s="1327"/>
      <c r="K122" s="898"/>
      <c r="L122" s="989"/>
    </row>
    <row r="123" spans="1:12" s="168" customFormat="1" ht="19.5" thickBot="1">
      <c r="A123" s="1278"/>
      <c r="B123" s="983"/>
      <c r="C123" s="900"/>
      <c r="D123" s="1303" t="str">
        <f>Cuestionario!C77</f>
        <v>Fortalezas</v>
      </c>
      <c r="E123" s="1303"/>
      <c r="F123" s="1303"/>
      <c r="G123" s="1303"/>
      <c r="H123" s="1305" t="str">
        <f>Cuestionario!G77</f>
        <v>Oportunidades</v>
      </c>
      <c r="I123" s="1305"/>
      <c r="J123" s="1305"/>
      <c r="K123" s="898"/>
      <c r="L123" s="989"/>
    </row>
    <row r="124" spans="1:12" s="168" customFormat="1" ht="79.5" customHeight="1" thickBot="1">
      <c r="A124" s="1278"/>
      <c r="B124" s="983"/>
      <c r="C124" s="899" t="str">
        <f>Cuestionario!B78</f>
        <v>Puntos Fuertes</v>
      </c>
      <c r="D124" s="1323">
        <f>Cuestionario!C78</f>
        <v>3</v>
      </c>
      <c r="E124" s="1326"/>
      <c r="F124" s="1326"/>
      <c r="G124" s="1327"/>
      <c r="H124" s="1323">
        <f>Cuestionario!G78</f>
        <v>4</v>
      </c>
      <c r="I124" s="1326"/>
      <c r="J124" s="1327"/>
      <c r="K124" s="898"/>
      <c r="L124" s="989"/>
    </row>
    <row r="125" spans="1:12" s="168" customFormat="1" ht="12" customHeight="1">
      <c r="A125" s="984"/>
      <c r="B125" s="858"/>
      <c r="C125" s="898"/>
      <c r="D125" s="898"/>
      <c r="E125" s="898"/>
      <c r="F125" s="898"/>
      <c r="G125" s="898"/>
      <c r="H125" s="898"/>
      <c r="I125" s="898"/>
      <c r="J125" s="898"/>
      <c r="K125" s="898"/>
      <c r="L125" s="989"/>
    </row>
    <row r="126" spans="1:12" s="168" customFormat="1" ht="7.5" customHeight="1">
      <c r="A126" s="1277"/>
      <c r="B126" s="982"/>
      <c r="C126" s="898"/>
      <c r="D126" s="898"/>
      <c r="E126" s="898"/>
      <c r="F126" s="898"/>
      <c r="G126" s="898"/>
      <c r="H126" s="898"/>
      <c r="I126" s="898"/>
      <c r="J126" s="898"/>
      <c r="K126" s="898"/>
      <c r="L126" s="989"/>
    </row>
    <row r="127" spans="1:12" s="168" customFormat="1" ht="18.75" customHeight="1">
      <c r="A127" s="1277"/>
      <c r="B127" s="982"/>
      <c r="C127" s="935" t="s">
        <v>671</v>
      </c>
      <c r="D127" s="1149" t="str">
        <f>+H39</f>
        <v>Real/Proyección 2020</v>
      </c>
      <c r="E127" s="936">
        <f>+E108</f>
        <v>2021</v>
      </c>
      <c r="F127" s="936">
        <f>+F108</f>
        <v>2022</v>
      </c>
      <c r="G127" s="936">
        <f>+G108</f>
        <v>2023</v>
      </c>
      <c r="H127" s="1306" t="s">
        <v>635</v>
      </c>
      <c r="I127" s="1306"/>
      <c r="J127" s="1306"/>
      <c r="K127" s="1306"/>
      <c r="L127" s="989"/>
    </row>
    <row r="128" spans="1:12" s="168" customFormat="1">
      <c r="A128" s="1277"/>
      <c r="B128" s="982"/>
      <c r="C128" s="901" t="s">
        <v>120</v>
      </c>
      <c r="D128" s="1104">
        <f>+H40</f>
        <v>0</v>
      </c>
      <c r="E128" s="1064">
        <f>+E56</f>
        <v>0</v>
      </c>
      <c r="F128" s="1064">
        <f>+G56</f>
        <v>0</v>
      </c>
      <c r="G128" s="1065">
        <f>+I56</f>
        <v>0</v>
      </c>
      <c r="H128" s="1331" t="s">
        <v>46</v>
      </c>
      <c r="I128" s="1331"/>
      <c r="J128" s="1331"/>
      <c r="K128" s="1331"/>
      <c r="L128" s="989"/>
    </row>
    <row r="129" spans="1:16" s="168" customFormat="1">
      <c r="A129" s="1277"/>
      <c r="B129" s="982"/>
      <c r="C129" s="904" t="s">
        <v>679</v>
      </c>
      <c r="D129" s="901"/>
      <c r="E129" s="1066"/>
      <c r="F129" s="1064">
        <f>+F128-E128</f>
        <v>0</v>
      </c>
      <c r="G129" s="1064">
        <f>+G128-F128</f>
        <v>0</v>
      </c>
      <c r="H129" s="1328" t="s">
        <v>46</v>
      </c>
      <c r="I129" s="1328"/>
      <c r="J129" s="1328"/>
      <c r="K129" s="1328"/>
      <c r="L129" s="989"/>
      <c r="O129" s="690"/>
      <c r="P129" s="690"/>
    </row>
    <row r="130" spans="1:16" s="168" customFormat="1">
      <c r="A130" s="1277"/>
      <c r="B130" s="982"/>
      <c r="C130" s="904" t="s">
        <v>680</v>
      </c>
      <c r="D130" s="901"/>
      <c r="E130" s="1066"/>
      <c r="F130" s="1067"/>
      <c r="G130" s="1067" t="str">
        <f>IF(ISERROR(+(G129-F129)/F129),"",(+(G129-F129)/F129))</f>
        <v/>
      </c>
      <c r="H130" s="1328" t="s">
        <v>46</v>
      </c>
      <c r="I130" s="1328"/>
      <c r="J130" s="1328"/>
      <c r="K130" s="1328"/>
      <c r="L130" s="989"/>
      <c r="O130" s="690"/>
      <c r="P130" s="690"/>
    </row>
    <row r="131" spans="1:16" s="168" customFormat="1">
      <c r="A131" s="1277"/>
      <c r="B131" s="982"/>
      <c r="C131" s="901" t="s">
        <v>681</v>
      </c>
      <c r="D131" s="1066" t="str">
        <f>+I42</f>
        <v/>
      </c>
      <c r="E131" s="1066" t="str">
        <f>+F60</f>
        <v/>
      </c>
      <c r="F131" s="1066" t="str">
        <f>+H60</f>
        <v/>
      </c>
      <c r="G131" s="1066" t="str">
        <f>+J60</f>
        <v/>
      </c>
      <c r="H131" s="1328" t="s">
        <v>46</v>
      </c>
      <c r="I131" s="1328"/>
      <c r="J131" s="1328"/>
      <c r="K131" s="1328"/>
      <c r="L131" s="989"/>
      <c r="O131" s="690"/>
      <c r="P131" s="690"/>
    </row>
    <row r="132" spans="1:16" s="168" customFormat="1">
      <c r="A132" s="1277"/>
      <c r="B132" s="982"/>
      <c r="C132" s="901" t="s">
        <v>250</v>
      </c>
      <c r="D132" s="901"/>
      <c r="E132" s="1064">
        <f ca="1">+Resultados!C27</f>
        <v>0</v>
      </c>
      <c r="F132" s="1064">
        <f ca="1">+Resultados!E27</f>
        <v>0</v>
      </c>
      <c r="G132" s="1064">
        <f ca="1">+Resultados!G27</f>
        <v>0</v>
      </c>
      <c r="H132" s="1328" t="s">
        <v>46</v>
      </c>
      <c r="I132" s="1328"/>
      <c r="J132" s="1328"/>
      <c r="K132" s="1328"/>
      <c r="L132" s="989"/>
      <c r="O132" s="690"/>
      <c r="P132" s="690"/>
    </row>
    <row r="133" spans="1:16" s="168" customFormat="1">
      <c r="A133" s="1277"/>
      <c r="B133" s="982"/>
      <c r="C133" s="901" t="s">
        <v>675</v>
      </c>
      <c r="D133" s="901"/>
      <c r="E133" s="1066"/>
      <c r="F133" s="1066"/>
      <c r="G133" s="1066"/>
      <c r="H133" s="1328" t="s">
        <v>46</v>
      </c>
      <c r="I133" s="1328"/>
      <c r="J133" s="1328"/>
      <c r="K133" s="1328"/>
      <c r="L133" s="989"/>
      <c r="O133" s="689"/>
      <c r="P133" s="690"/>
    </row>
    <row r="134" spans="1:16" s="168" customFormat="1">
      <c r="A134" s="1277"/>
      <c r="B134" s="982"/>
      <c r="C134" s="901" t="s">
        <v>676</v>
      </c>
      <c r="D134" s="901"/>
      <c r="E134" s="1066"/>
      <c r="F134" s="1066"/>
      <c r="G134" s="1066"/>
      <c r="H134" s="1328" t="s">
        <v>46</v>
      </c>
      <c r="I134" s="1328"/>
      <c r="J134" s="1328"/>
      <c r="K134" s="1328"/>
      <c r="L134" s="989"/>
      <c r="O134" s="690"/>
      <c r="P134" s="690"/>
    </row>
    <row r="135" spans="1:16" s="168" customFormat="1">
      <c r="A135" s="1277"/>
      <c r="B135" s="982"/>
      <c r="C135" s="901" t="s">
        <v>672</v>
      </c>
      <c r="D135" s="975">
        <f>+H22</f>
        <v>0</v>
      </c>
      <c r="E135" s="1068">
        <f>+I19+I20+I21</f>
        <v>0</v>
      </c>
      <c r="F135" s="1068">
        <f>+J19+J20+J21</f>
        <v>0</v>
      </c>
      <c r="G135" s="1068">
        <f>+K19+K20+K21</f>
        <v>0</v>
      </c>
      <c r="H135" s="1328" t="s">
        <v>46</v>
      </c>
      <c r="I135" s="1328"/>
      <c r="J135" s="1328"/>
      <c r="K135" s="1328"/>
      <c r="L135" s="989"/>
      <c r="N135" s="168" t="s">
        <v>46</v>
      </c>
      <c r="O135" s="690"/>
      <c r="P135" s="691"/>
    </row>
    <row r="136" spans="1:16" s="168" customFormat="1">
      <c r="A136" s="1277"/>
      <c r="B136" s="982"/>
      <c r="C136" s="901" t="s">
        <v>673</v>
      </c>
      <c r="D136" s="975">
        <f>+H23</f>
        <v>0</v>
      </c>
      <c r="E136" s="1064" t="str">
        <f>IF(ISERROR(+E$56/E135),"",(+E$56/E135))</f>
        <v/>
      </c>
      <c r="F136" s="1064" t="str">
        <f>IF(ISERROR(+G$56/F135),"",(+G$56/F135))</f>
        <v/>
      </c>
      <c r="G136" s="1064" t="str">
        <f>IF(ISERROR(+I$56/G135),"",(+I$56/G135))</f>
        <v/>
      </c>
      <c r="H136" s="1328" t="s">
        <v>46</v>
      </c>
      <c r="I136" s="1328"/>
      <c r="J136" s="1328"/>
      <c r="K136" s="1328"/>
      <c r="L136" s="989"/>
      <c r="O136" s="690"/>
      <c r="P136" s="690"/>
    </row>
    <row r="137" spans="1:16" s="168" customFormat="1">
      <c r="A137" s="1277"/>
      <c r="B137" s="982"/>
      <c r="C137" s="901" t="s">
        <v>674</v>
      </c>
      <c r="D137" s="901"/>
      <c r="E137" s="1064">
        <f ca="1">+E87-E102</f>
        <v>0</v>
      </c>
      <c r="F137" s="1064">
        <f ca="1">+F87-F102</f>
        <v>0</v>
      </c>
      <c r="G137" s="1064">
        <f ca="1">+G87-G102</f>
        <v>0</v>
      </c>
      <c r="H137" s="1328" t="s">
        <v>46</v>
      </c>
      <c r="I137" s="1328"/>
      <c r="J137" s="1328"/>
      <c r="K137" s="1328"/>
      <c r="L137" s="989"/>
      <c r="O137" s="690"/>
      <c r="P137" s="690"/>
    </row>
    <row r="138" spans="1:16" s="168" customFormat="1">
      <c r="A138" s="1277"/>
      <c r="B138" s="982"/>
      <c r="C138" s="901" t="s">
        <v>683</v>
      </c>
      <c r="D138" s="901" t="s">
        <v>684</v>
      </c>
      <c r="E138" s="1069" t="str">
        <f ca="1">IF(ISERROR(+(E100+E102)/E93),"",(E100+E102)/E93)</f>
        <v/>
      </c>
      <c r="F138" s="1069" t="str">
        <f ca="1">IF(ISERROR(+(F100+F102)/F93),"",(+(F100+F102)/F93))</f>
        <v/>
      </c>
      <c r="G138" s="1069" t="str">
        <f ca="1">IF(ISERROR(+(G100+G102)/G93),"",(+(G100+G102)/G93))</f>
        <v/>
      </c>
      <c r="H138" s="1328" t="s">
        <v>46</v>
      </c>
      <c r="I138" s="1328"/>
      <c r="J138" s="1328"/>
      <c r="K138" s="1328"/>
      <c r="L138" s="989"/>
    </row>
    <row r="139" spans="1:16" s="168" customFormat="1">
      <c r="A139" s="1277"/>
      <c r="B139" s="982"/>
      <c r="C139" s="892" t="s">
        <v>682</v>
      </c>
      <c r="D139" s="892"/>
      <c r="E139" s="1070"/>
      <c r="F139" s="1070"/>
      <c r="G139" s="1070"/>
      <c r="H139" s="1328" t="s">
        <v>46</v>
      </c>
      <c r="I139" s="1328"/>
      <c r="J139" s="1328"/>
      <c r="K139" s="1328"/>
      <c r="L139" s="989"/>
    </row>
    <row r="140" spans="1:16" s="168" customFormat="1">
      <c r="A140" s="1277"/>
      <c r="B140" s="982"/>
      <c r="C140" s="892" t="s">
        <v>463</v>
      </c>
      <c r="D140" s="892"/>
      <c r="E140" s="1070"/>
      <c r="F140" s="1070"/>
      <c r="G140" s="1070"/>
      <c r="H140" s="1328" t="s">
        <v>46</v>
      </c>
      <c r="I140" s="1328"/>
      <c r="J140" s="1328"/>
      <c r="K140" s="1328"/>
      <c r="L140" s="989"/>
    </row>
    <row r="141" spans="1:16" s="168" customFormat="1">
      <c r="A141" s="984"/>
      <c r="B141" s="858"/>
      <c r="C141" s="892"/>
      <c r="D141" s="892"/>
      <c r="E141" s="892"/>
      <c r="F141" s="892"/>
      <c r="G141" s="892"/>
      <c r="H141" s="892"/>
      <c r="I141" s="892"/>
      <c r="J141" s="892"/>
      <c r="K141" s="892"/>
      <c r="L141" s="989"/>
    </row>
    <row r="142" spans="1:16" s="168" customFormat="1" ht="18.75" customHeight="1">
      <c r="A142" s="1277" t="s">
        <v>904</v>
      </c>
      <c r="B142" s="982"/>
      <c r="C142" s="1330" t="str">
        <f>+'Resumen nuevo proyecto'!C125</f>
        <v>- Asistir a la sesión Ayudas para Emprender</v>
      </c>
      <c r="D142" s="1330"/>
      <c r="E142" s="1330"/>
      <c r="F142" s="1330"/>
      <c r="G142" s="1330"/>
      <c r="H142" s="1330"/>
      <c r="I142" s="1330"/>
      <c r="J142" s="1330"/>
      <c r="K142" s="1330"/>
      <c r="L142" s="989"/>
    </row>
    <row r="143" spans="1:16" s="168" customFormat="1" ht="18.75" customHeight="1">
      <c r="A143" s="1277"/>
      <c r="B143" s="982"/>
      <c r="C143" s="1332" t="str">
        <f>+'Resumen nuevo proyecto'!C126</f>
        <v/>
      </c>
      <c r="D143" s="1332"/>
      <c r="E143" s="1332"/>
      <c r="F143" s="1332"/>
      <c r="G143" s="1332"/>
      <c r="H143" s="1332"/>
      <c r="I143" s="1332"/>
      <c r="J143" s="1332"/>
      <c r="K143" s="1332"/>
      <c r="L143" s="989"/>
    </row>
    <row r="144" spans="1:16" s="168" customFormat="1" ht="18.75" customHeight="1">
      <c r="A144" s="1277"/>
      <c r="B144" s="982"/>
      <c r="C144" s="1332" t="str">
        <f>+'Resumen nuevo proyecto'!C127</f>
        <v/>
      </c>
      <c r="D144" s="1332"/>
      <c r="E144" s="1332"/>
      <c r="F144" s="1332"/>
      <c r="G144" s="1332"/>
      <c r="H144" s="1332"/>
      <c r="I144" s="1332"/>
      <c r="J144" s="1332"/>
      <c r="K144" s="1332"/>
      <c r="L144" s="989"/>
    </row>
    <row r="145" spans="1:12" s="168" customFormat="1" ht="18.75" customHeight="1">
      <c r="A145" s="1277"/>
      <c r="B145" s="982"/>
      <c r="C145" s="1332" t="str">
        <f>+'Resumen nuevo proyecto'!C128</f>
        <v>- Solicitar cita asesoramiento legal analizar RGPD y/o patente/marcas</v>
      </c>
      <c r="D145" s="1332"/>
      <c r="E145" s="1332"/>
      <c r="F145" s="1332"/>
      <c r="G145" s="1332"/>
      <c r="H145" s="1332"/>
      <c r="I145" s="1332"/>
      <c r="J145" s="1332"/>
      <c r="K145" s="1332"/>
      <c r="L145" s="989"/>
    </row>
    <row r="146" spans="1:12" s="168" customFormat="1" ht="18.75" customHeight="1">
      <c r="A146" s="1277"/>
      <c r="B146" s="982"/>
      <c r="C146" s="1332" t="str">
        <f>+'Resumen nuevo proyecto'!C129</f>
        <v>- Solicitar cita asesoramiento comercial</v>
      </c>
      <c r="D146" s="1332"/>
      <c r="E146" s="1332"/>
      <c r="F146" s="1332"/>
      <c r="G146" s="1332"/>
      <c r="H146" s="1332"/>
      <c r="I146" s="1332"/>
      <c r="J146" s="1332"/>
      <c r="K146" s="1332"/>
      <c r="L146" s="989"/>
    </row>
    <row r="147" spans="1:12" s="168" customFormat="1" ht="18.75" customHeight="1">
      <c r="A147" s="1277"/>
      <c r="B147" s="982"/>
      <c r="C147" s="1332" t="str">
        <f>+'Resumen nuevo proyecto'!C130</f>
        <v/>
      </c>
      <c r="D147" s="1332"/>
      <c r="E147" s="1332"/>
      <c r="F147" s="1332"/>
      <c r="G147" s="1332"/>
      <c r="H147" s="1332"/>
      <c r="I147" s="1332"/>
      <c r="J147" s="1332"/>
      <c r="K147" s="1332"/>
      <c r="L147" s="989"/>
    </row>
    <row r="148" spans="1:12" s="168" customFormat="1" ht="18.75" customHeight="1">
      <c r="A148" s="1277"/>
      <c r="B148" s="982"/>
      <c r="C148" s="1332" t="str">
        <f>+'Resumen nuevo proyecto'!C131</f>
        <v>- Lista de posibles incidencias y plan de acción. Pedir cita asesoramiento para revisar</v>
      </c>
      <c r="D148" s="1332"/>
      <c r="E148" s="1332"/>
      <c r="F148" s="1332"/>
      <c r="G148" s="1332"/>
      <c r="H148" s="1332"/>
      <c r="I148" s="1332"/>
      <c r="J148" s="1332"/>
      <c r="K148" s="1332"/>
      <c r="L148" s="989"/>
    </row>
    <row r="149" spans="1:12" s="168" customFormat="1" ht="18.75" customHeight="1">
      <c r="A149" s="1277"/>
      <c r="B149" s="982"/>
      <c r="C149" s="1332" t="str">
        <f>+'Resumen nuevo proyecto'!C132</f>
        <v>- Realizar lista de los cuatro indicadores más importantes. Pedir cita para revisión posterior</v>
      </c>
      <c r="D149" s="1332"/>
      <c r="E149" s="1332"/>
      <c r="F149" s="1332"/>
      <c r="G149" s="1332"/>
      <c r="H149" s="1332"/>
      <c r="I149" s="1332"/>
      <c r="J149" s="1332"/>
      <c r="K149" s="1332"/>
      <c r="L149" s="989"/>
    </row>
    <row r="150" spans="1:12" s="168" customFormat="1">
      <c r="A150" s="1277"/>
      <c r="B150" s="982"/>
      <c r="C150" s="1332" t="str">
        <f ca="1">+'Resumen nuevo proyecto'!C133</f>
        <v/>
      </c>
      <c r="D150" s="1332"/>
      <c r="E150" s="1332"/>
      <c r="F150" s="1332"/>
      <c r="G150" s="1332"/>
      <c r="H150" s="1332"/>
      <c r="I150" s="1332"/>
      <c r="J150" s="1332"/>
      <c r="K150" s="1332"/>
      <c r="L150" s="989"/>
    </row>
    <row r="151" spans="1:12" s="168" customFormat="1">
      <c r="A151" s="1277"/>
      <c r="B151" s="982"/>
      <c r="C151" s="1332" t="str">
        <f>+'Resumen nuevo proyecto'!C134</f>
        <v>- Cálculo de CAC y LTV. Pedir citar</v>
      </c>
      <c r="D151" s="1332"/>
      <c r="E151" s="1332"/>
      <c r="F151" s="1332"/>
      <c r="G151" s="1332"/>
      <c r="H151" s="1332"/>
      <c r="I151" s="1332"/>
      <c r="J151" s="1332"/>
      <c r="K151" s="1332"/>
      <c r="L151" s="989"/>
    </row>
    <row r="152" spans="1:12" s="168" customFormat="1">
      <c r="A152" s="1277"/>
      <c r="B152" s="982"/>
      <c r="C152" s="1330" t="str">
        <f>+'Resumen nuevo proyecto'!C135</f>
        <v>- Realizar Plan de innovación / digitalización. Pedir citar</v>
      </c>
      <c r="D152" s="1330"/>
      <c r="E152" s="1330"/>
      <c r="F152" s="1330"/>
      <c r="G152" s="1330"/>
      <c r="H152" s="1330"/>
      <c r="I152" s="1330"/>
      <c r="J152" s="1330"/>
      <c r="K152" s="1330"/>
      <c r="L152" s="989"/>
    </row>
    <row r="153" spans="1:12" s="168" customFormat="1">
      <c r="A153" s="984"/>
      <c r="B153" s="858"/>
      <c r="C153" s="892"/>
      <c r="D153" s="892"/>
      <c r="E153" s="892"/>
      <c r="F153" s="892"/>
      <c r="G153" s="892"/>
      <c r="H153" s="892"/>
      <c r="I153" s="892"/>
      <c r="J153" s="892"/>
      <c r="K153" s="892"/>
      <c r="L153" s="989"/>
    </row>
    <row r="154" spans="1:12" s="168" customFormat="1" ht="18.75" customHeight="1">
      <c r="A154" s="1329" t="s">
        <v>1268</v>
      </c>
      <c r="B154" s="858"/>
      <c r="C154" s="1330"/>
      <c r="D154" s="1330"/>
      <c r="E154" s="1330"/>
      <c r="F154" s="1330"/>
      <c r="G154" s="1330"/>
      <c r="H154" s="1330"/>
      <c r="I154" s="1330"/>
      <c r="J154" s="1330"/>
      <c r="K154" s="1330"/>
      <c r="L154" s="989"/>
    </row>
    <row r="155" spans="1:12" s="168" customFormat="1">
      <c r="A155" s="1329"/>
      <c r="B155" s="858"/>
      <c r="C155" s="1330"/>
      <c r="D155" s="1330"/>
      <c r="E155" s="1330"/>
      <c r="F155" s="1330"/>
      <c r="G155" s="1330"/>
      <c r="H155" s="1330"/>
      <c r="I155" s="1330"/>
      <c r="J155" s="1330"/>
      <c r="K155" s="1330"/>
      <c r="L155" s="989"/>
    </row>
    <row r="156" spans="1:12" s="168" customFormat="1">
      <c r="A156" s="1329"/>
      <c r="B156" s="858"/>
      <c r="C156" s="1330"/>
      <c r="D156" s="1330"/>
      <c r="E156" s="1330"/>
      <c r="F156" s="1330"/>
      <c r="G156" s="1330"/>
      <c r="H156" s="1330"/>
      <c r="I156" s="1330"/>
      <c r="J156" s="1330"/>
      <c r="K156" s="1330"/>
      <c r="L156" s="989"/>
    </row>
    <row r="157" spans="1:12" s="168" customFormat="1">
      <c r="A157" s="1329"/>
      <c r="B157" s="858"/>
      <c r="C157" s="1330"/>
      <c r="D157" s="1330"/>
      <c r="E157" s="1330"/>
      <c r="F157" s="1330"/>
      <c r="G157" s="1330"/>
      <c r="H157" s="1330"/>
      <c r="I157" s="1330"/>
      <c r="J157" s="1330"/>
      <c r="K157" s="1330"/>
      <c r="L157" s="989"/>
    </row>
    <row r="158" spans="1:12" s="168" customFormat="1">
      <c r="A158" s="1329"/>
      <c r="B158" s="858"/>
      <c r="C158" s="1330"/>
      <c r="D158" s="1330"/>
      <c r="E158" s="1330"/>
      <c r="F158" s="1330"/>
      <c r="G158" s="1330"/>
      <c r="H158" s="1330"/>
      <c r="I158" s="1330"/>
      <c r="J158" s="1330"/>
      <c r="K158" s="1330"/>
      <c r="L158" s="989"/>
    </row>
    <row r="159" spans="1:12" s="168" customFormat="1">
      <c r="A159" s="984"/>
      <c r="B159" s="858"/>
      <c r="C159" s="892"/>
      <c r="D159" s="892"/>
      <c r="E159" s="892"/>
      <c r="F159" s="892"/>
      <c r="G159" s="892"/>
      <c r="H159" s="892"/>
      <c r="I159" s="892"/>
      <c r="J159" s="892"/>
      <c r="K159" s="892"/>
      <c r="L159" s="989"/>
    </row>
    <row r="160" spans="1:12" s="168" customFormat="1">
      <c r="A160" s="984"/>
      <c r="B160" s="858"/>
      <c r="C160" s="892"/>
      <c r="D160" s="892"/>
      <c r="E160" s="892"/>
      <c r="F160" s="892"/>
      <c r="G160" s="892"/>
      <c r="H160" s="892"/>
      <c r="I160" s="892"/>
      <c r="J160" s="892"/>
      <c r="K160" s="892"/>
      <c r="L160" s="989"/>
    </row>
    <row r="161" spans="1:12" s="168" customFormat="1">
      <c r="A161" s="984"/>
      <c r="B161" s="858"/>
      <c r="C161" s="892"/>
      <c r="D161" s="892"/>
      <c r="E161" s="892"/>
      <c r="F161" s="892"/>
      <c r="G161" s="892"/>
      <c r="H161" s="892"/>
      <c r="I161" s="892"/>
      <c r="J161" s="892"/>
      <c r="K161" s="892"/>
      <c r="L161" s="989"/>
    </row>
    <row r="162" spans="1:12" s="168" customFormat="1">
      <c r="A162" s="984"/>
      <c r="B162" s="858"/>
      <c r="C162" s="892"/>
      <c r="D162" s="892"/>
      <c r="E162" s="892"/>
      <c r="F162" s="892"/>
      <c r="G162" s="892"/>
      <c r="H162" s="892"/>
      <c r="I162" s="892"/>
      <c r="J162" s="892"/>
      <c r="K162" s="892"/>
      <c r="L162" s="989"/>
    </row>
  </sheetData>
  <mergeCells count="93">
    <mergeCell ref="C157:K157"/>
    <mergeCell ref="C158:K158"/>
    <mergeCell ref="C143:K143"/>
    <mergeCell ref="C144:K144"/>
    <mergeCell ref="C154:K154"/>
    <mergeCell ref="C155:K155"/>
    <mergeCell ref="C156:K156"/>
    <mergeCell ref="C148:K148"/>
    <mergeCell ref="C149:K149"/>
    <mergeCell ref="C150:K150"/>
    <mergeCell ref="C151:K151"/>
    <mergeCell ref="C145:K145"/>
    <mergeCell ref="C146:K146"/>
    <mergeCell ref="C147:K147"/>
    <mergeCell ref="H136:K136"/>
    <mergeCell ref="H137:K137"/>
    <mergeCell ref="A154:A158"/>
    <mergeCell ref="E36:K36"/>
    <mergeCell ref="C152:K152"/>
    <mergeCell ref="H138:K138"/>
    <mergeCell ref="H139:K139"/>
    <mergeCell ref="H140:K140"/>
    <mergeCell ref="A126:A140"/>
    <mergeCell ref="H127:K127"/>
    <mergeCell ref="H128:K128"/>
    <mergeCell ref="H129:K129"/>
    <mergeCell ref="H130:K130"/>
    <mergeCell ref="H131:K131"/>
    <mergeCell ref="A142:A152"/>
    <mergeCell ref="C142:K142"/>
    <mergeCell ref="A54:A79"/>
    <mergeCell ref="C54:D54"/>
    <mergeCell ref="A81:A106"/>
    <mergeCell ref="A108:A118"/>
    <mergeCell ref="C108:D108"/>
    <mergeCell ref="H132:K132"/>
    <mergeCell ref="H133:K133"/>
    <mergeCell ref="H134:K134"/>
    <mergeCell ref="H135:K135"/>
    <mergeCell ref="D124:G124"/>
    <mergeCell ref="H124:J124"/>
    <mergeCell ref="A120:A124"/>
    <mergeCell ref="D120:G120"/>
    <mergeCell ref="H120:I120"/>
    <mergeCell ref="D121:G121"/>
    <mergeCell ref="H121:J121"/>
    <mergeCell ref="D122:G122"/>
    <mergeCell ref="H122:J122"/>
    <mergeCell ref="D123:G123"/>
    <mergeCell ref="H123:J123"/>
    <mergeCell ref="C35:D35"/>
    <mergeCell ref="E35:K35"/>
    <mergeCell ref="C37:D37"/>
    <mergeCell ref="E37:K37"/>
    <mergeCell ref="A39:A52"/>
    <mergeCell ref="C36:D36"/>
    <mergeCell ref="C34:D34"/>
    <mergeCell ref="E34:K34"/>
    <mergeCell ref="C33:D33"/>
    <mergeCell ref="E33:K33"/>
    <mergeCell ref="C32:D32"/>
    <mergeCell ref="E32:K32"/>
    <mergeCell ref="C1:G2"/>
    <mergeCell ref="H1:I1"/>
    <mergeCell ref="H2:I2"/>
    <mergeCell ref="D3:E3"/>
    <mergeCell ref="H3:I3"/>
    <mergeCell ref="C31:D31"/>
    <mergeCell ref="E31:K31"/>
    <mergeCell ref="A26:A37"/>
    <mergeCell ref="A10:A24"/>
    <mergeCell ref="C16:D16"/>
    <mergeCell ref="E16:K16"/>
    <mergeCell ref="C18:D18"/>
    <mergeCell ref="C19:D19"/>
    <mergeCell ref="C20:D20"/>
    <mergeCell ref="C21:D21"/>
    <mergeCell ref="C24:D24"/>
    <mergeCell ref="E24:K24"/>
    <mergeCell ref="C26:D26"/>
    <mergeCell ref="E26:K26"/>
    <mergeCell ref="C27:D27"/>
    <mergeCell ref="E27:K27"/>
    <mergeCell ref="A6:K6"/>
    <mergeCell ref="A5:L5"/>
    <mergeCell ref="A7:L7"/>
    <mergeCell ref="A8:K8"/>
    <mergeCell ref="E30:K30"/>
    <mergeCell ref="C28:D28"/>
    <mergeCell ref="E28:K28"/>
    <mergeCell ref="C29:D29"/>
    <mergeCell ref="E29:K29"/>
    <mergeCell ref="C30:D30"/>
  </mergeCells>
  <conditionalFormatting sqref="C141:K141 H2 J2:K2 H3:J3 F19:F22 G18:J22 C153:K153 J48:K52 C23:K23 C25:K25 C24:D24 C38:K38 C26:D37 C9:K17 C53:K119 C127:I127 C52:H52 C39:C51 F40:J51 C128:G140 C159:K1048576 A5">
    <cfRule type="cellIs" dxfId="211" priority="56" operator="equal">
      <formula>0</formula>
    </cfRule>
  </conditionalFormatting>
  <conditionalFormatting sqref="C111">
    <cfRule type="cellIs" dxfId="210" priority="48" operator="equal">
      <formula>0</formula>
    </cfRule>
  </conditionalFormatting>
  <conditionalFormatting sqref="C111">
    <cfRule type="cellIs" dxfId="209" priority="47" operator="equal">
      <formula>0</formula>
    </cfRule>
  </conditionalFormatting>
  <conditionalFormatting sqref="C4:K4 C3:D3 C1 H1:K1">
    <cfRule type="cellIs" dxfId="208" priority="44" operator="equal">
      <formula>0</formula>
    </cfRule>
  </conditionalFormatting>
  <conditionalFormatting sqref="C142">
    <cfRule type="cellIs" dxfId="207" priority="40" operator="equal">
      <formula>0</formula>
    </cfRule>
  </conditionalFormatting>
  <conditionalFormatting sqref="H128:H130">
    <cfRule type="cellIs" dxfId="206" priority="42" operator="equal">
      <formula>0</formula>
    </cfRule>
  </conditionalFormatting>
  <conditionalFormatting sqref="C19:D22">
    <cfRule type="cellIs" dxfId="205" priority="34" operator="equal">
      <formula>0</formula>
    </cfRule>
  </conditionalFormatting>
  <conditionalFormatting sqref="F18">
    <cfRule type="cellIs" dxfId="204" priority="33" operator="equal">
      <formula>0</formula>
    </cfRule>
  </conditionalFormatting>
  <conditionalFormatting sqref="C18:D18">
    <cfRule type="cellIs" dxfId="203" priority="32" operator="equal">
      <formula>0</formula>
    </cfRule>
  </conditionalFormatting>
  <conditionalFormatting sqref="H137">
    <cfRule type="cellIs" dxfId="202" priority="27" operator="equal">
      <formula>0</formula>
    </cfRule>
  </conditionalFormatting>
  <conditionalFormatting sqref="H136">
    <cfRule type="cellIs" dxfId="201" priority="26" operator="equal">
      <formula>0</formula>
    </cfRule>
  </conditionalFormatting>
  <conditionalFormatting sqref="H138">
    <cfRule type="cellIs" dxfId="200" priority="28" operator="equal">
      <formula>0</formula>
    </cfRule>
  </conditionalFormatting>
  <conditionalFormatting sqref="H135">
    <cfRule type="cellIs" dxfId="199" priority="25" operator="equal">
      <formula>0</formula>
    </cfRule>
  </conditionalFormatting>
  <conditionalFormatting sqref="H131:H134 H140">
    <cfRule type="cellIs" dxfId="198" priority="30" operator="equal">
      <formula>0</formula>
    </cfRule>
  </conditionalFormatting>
  <conditionalFormatting sqref="H139">
    <cfRule type="cellIs" dxfId="197" priority="29" operator="equal">
      <formula>0</formula>
    </cfRule>
  </conditionalFormatting>
  <conditionalFormatting sqref="K18">
    <cfRule type="cellIs" dxfId="196" priority="24" operator="equal">
      <formula>0</formula>
    </cfRule>
  </conditionalFormatting>
  <conditionalFormatting sqref="L1:L4 L6 L8:L1048576">
    <cfRule type="cellIs" dxfId="195" priority="22" operator="equal">
      <formula>"SI"</formula>
    </cfRule>
  </conditionalFormatting>
  <conditionalFormatting sqref="L6 L8:L37">
    <cfRule type="cellIs" dxfId="194" priority="21" operator="equal">
      <formula>"SI"</formula>
    </cfRule>
  </conditionalFormatting>
  <conditionalFormatting sqref="K42:L42 K44:L44 K43 K46:L46 K45 K39:K40">
    <cfRule type="cellIs" dxfId="193" priority="20" operator="equal">
      <formula>0</formula>
    </cfRule>
  </conditionalFormatting>
  <conditionalFormatting sqref="K47">
    <cfRule type="cellIs" dxfId="192" priority="19" operator="equal">
      <formula>0</formula>
    </cfRule>
  </conditionalFormatting>
  <conditionalFormatting sqref="F39:J39">
    <cfRule type="cellIs" dxfId="191" priority="18" operator="equal">
      <formula>0</formula>
    </cfRule>
  </conditionalFormatting>
  <conditionalFormatting sqref="E19:E21">
    <cfRule type="cellIs" dxfId="190" priority="17" operator="equal">
      <formula>0</formula>
    </cfRule>
  </conditionalFormatting>
  <conditionalFormatting sqref="E18">
    <cfRule type="cellIs" dxfId="189" priority="16" operator="equal">
      <formula>0</formula>
    </cfRule>
  </conditionalFormatting>
  <conditionalFormatting sqref="E22">
    <cfRule type="cellIs" dxfId="188" priority="15" operator="equal">
      <formula>0</formula>
    </cfRule>
  </conditionalFormatting>
  <conditionalFormatting sqref="E24:K24">
    <cfRule type="expression" dxfId="187" priority="14">
      <formula>$L24="SI"</formula>
    </cfRule>
  </conditionalFormatting>
  <conditionalFormatting sqref="E26:K37">
    <cfRule type="expression" dxfId="186" priority="13">
      <formula>$L26="SI"</formula>
    </cfRule>
  </conditionalFormatting>
  <conditionalFormatting sqref="A6">
    <cfRule type="expression" dxfId="185" priority="12">
      <formula>$L6="SI"</formula>
    </cfRule>
  </conditionalFormatting>
  <conditionalFormatting sqref="C11:K11">
    <cfRule type="expression" dxfId="184" priority="8">
      <formula>$L11="SI"</formula>
    </cfRule>
  </conditionalFormatting>
  <conditionalFormatting sqref="C12:K14">
    <cfRule type="expression" dxfId="183" priority="7">
      <formula>$L12="SI"</formula>
    </cfRule>
  </conditionalFormatting>
  <conditionalFormatting sqref="C143:C152">
    <cfRule type="cellIs" dxfId="182" priority="6" operator="equal">
      <formula>0</formula>
    </cfRule>
  </conditionalFormatting>
  <conditionalFormatting sqref="D40:E50">
    <cfRule type="cellIs" dxfId="181" priority="5" operator="equal">
      <formula>0</formula>
    </cfRule>
  </conditionalFormatting>
  <conditionalFormatting sqref="C154:C158">
    <cfRule type="cellIs" dxfId="180" priority="4" operator="equal">
      <formula>0</formula>
    </cfRule>
  </conditionalFormatting>
  <conditionalFormatting sqref="A7">
    <cfRule type="cellIs" dxfId="179" priority="3" operator="equal">
      <formula>0</formula>
    </cfRule>
  </conditionalFormatting>
  <conditionalFormatting sqref="A8">
    <cfRule type="expression" dxfId="178" priority="1">
      <formula>$L8="SI"</formula>
    </cfRule>
  </conditionalFormatting>
  <dataValidations count="4">
    <dataValidation allowBlank="1" showInputMessage="1" showErrorMessage="1" prompt="Factores positivos que se generan en el entorno y quepueden ser aprovechados. Circunstancias que mejoran la situación empresa_x000a_Tendencias del mercado _x000a_Coyuntura economica del país_x000a_Cambios legal y/o políticos_x000a_Patrones sociales estilos de vida_x000a__x000a_" sqref="H124" xr:uid="{00000000-0002-0000-1300-000000000000}"/>
    <dataValidation allowBlank="1" showInputMessage="1" showErrorMessage="1" prompt="Situaciones negativas, externas al proyecto, que pueden atentar contra la empresa._x000a_Obstáculos se enfrenta_x000a_Qué están haciendo los competidores_x000a_Problemas de recursos de capital_x000a_" sqref="H122" xr:uid="{00000000-0002-0000-1300-000001000000}"/>
    <dataValidation allowBlank="1" showInputMessage="1" showErrorMessage="1" prompt="Qué atributos permiten generar una ventaja competitiva sobre el resto de sus competidores._x000a_Por ejemplo: Horario amplio, trato, actitud, locales amplios y cómodos. Variedad de productos. Atención personalizada _x000a_" sqref="D124:G124" xr:uid="{00000000-0002-0000-1300-000002000000}"/>
    <dataValidation allowBlank="1" showInputMessage="1" showErrorMessage="1" prompt="Elementos, recursos de energía, habilidades y actitudes que la empresa tiene y que constituyen barreras para lograr la buena marcha de la organización. Ejemplo: Falta dirección estratégica clara.Incapacidad de financiación.Falta habilidades clave.Costes _x000a_" sqref="D122:G122" xr:uid="{00000000-0002-0000-1300-000003000000}"/>
  </dataValidations>
  <printOptions horizontalCentered="1"/>
  <pageMargins left="0.70866141732283472" right="0.70866141732283472" top="1.1417322834645669" bottom="0.74803149606299213" header="0.31496062992125984" footer="0.31496062992125984"/>
  <pageSetup paperSize="9" scale="64" fitToHeight="0" orientation="portrait" r:id="rId1"/>
  <headerFooter>
    <oddHeader xml:space="preserve">&amp;L&amp;G&amp;C&amp;"-,Negrita"&amp;18Resumen Proyecto&amp;R&amp;8Herramienta desarrollada por
&amp;G  PROCORNELLÀ </oddHeader>
    <oddFooter>&amp;L&amp;"-,Negrita"&amp;14&amp;F]&amp;C&amp;D&amp;R&amp;14&amp;P/&amp;N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">
    <tabColor rgb="FFC00000"/>
  </sheetPr>
  <dimension ref="A1:S613"/>
  <sheetViews>
    <sheetView view="pageBreakPreview" zoomScaleNormal="94" zoomScaleSheetLayoutView="100" workbookViewId="0">
      <selection activeCell="J4" sqref="J4"/>
    </sheetView>
  </sheetViews>
  <sheetFormatPr baseColWidth="10" defaultColWidth="11.42578125" defaultRowHeight="18.75" outlineLevelRow="1"/>
  <cols>
    <col min="1" max="1" width="3.28515625" style="117" customWidth="1"/>
    <col min="2" max="2" width="21.85546875" style="192" customWidth="1"/>
    <col min="3" max="3" width="9.85546875" style="192" customWidth="1"/>
    <col min="4" max="4" width="8.7109375" style="192" customWidth="1"/>
    <col min="5" max="5" width="9.7109375" style="192" customWidth="1"/>
    <col min="6" max="6" width="8.5703125" style="192" customWidth="1"/>
    <col min="7" max="7" width="10.42578125" style="192" customWidth="1"/>
    <col min="8" max="8" width="9.42578125" style="192" customWidth="1"/>
    <col min="9" max="9" width="9.5703125" style="192" customWidth="1"/>
    <col min="10" max="10" width="9.7109375" style="192" customWidth="1"/>
    <col min="11" max="11" width="11.42578125" style="168"/>
    <col min="12" max="16384" width="11.42578125" style="117"/>
  </cols>
  <sheetData>
    <row r="1" spans="1:10">
      <c r="B1" s="192" t="str">
        <f>+Cuestionario!J1</f>
        <v xml:space="preserve">  </v>
      </c>
    </row>
    <row r="2" spans="1:10" ht="81.75" customHeight="1"/>
    <row r="3" spans="1:10" ht="45.75">
      <c r="A3" s="1354" t="s">
        <v>1272</v>
      </c>
      <c r="B3" s="1354"/>
      <c r="C3" s="1354"/>
      <c r="D3" s="1354"/>
      <c r="E3" s="1354"/>
      <c r="F3" s="1354"/>
      <c r="G3" s="1354"/>
      <c r="H3" s="1354"/>
      <c r="I3" s="1354"/>
      <c r="J3" s="1354"/>
    </row>
    <row r="4" spans="1:10" ht="81" customHeight="1">
      <c r="B4" s="193"/>
      <c r="C4" s="181"/>
      <c r="D4" s="181"/>
      <c r="E4" s="181"/>
      <c r="F4" s="181"/>
      <c r="G4" s="181"/>
      <c r="H4" s="181"/>
      <c r="I4" s="181"/>
      <c r="J4" s="181"/>
    </row>
    <row r="5" spans="1:10">
      <c r="B5" s="1355">
        <f>+Cuestionario!C5</f>
        <v>0</v>
      </c>
      <c r="C5" s="1355"/>
      <c r="D5" s="1355"/>
      <c r="E5" s="1355"/>
      <c r="F5" s="1355"/>
      <c r="G5" s="1355"/>
      <c r="H5" s="1355"/>
      <c r="I5" s="1355"/>
      <c r="J5" s="1355"/>
    </row>
    <row r="6" spans="1:10">
      <c r="B6" s="685"/>
      <c r="C6" s="181"/>
      <c r="D6" s="181"/>
      <c r="F6" s="181"/>
      <c r="G6" s="181"/>
      <c r="H6" s="181"/>
      <c r="I6" s="181"/>
    </row>
    <row r="7" spans="1:10">
      <c r="B7" s="194"/>
      <c r="C7" s="181"/>
      <c r="D7" s="181"/>
      <c r="E7" s="181"/>
      <c r="F7" s="181"/>
      <c r="G7" s="181"/>
      <c r="H7" s="181"/>
      <c r="I7" s="181"/>
      <c r="J7" s="181"/>
    </row>
    <row r="8" spans="1:10" ht="19.5">
      <c r="B8" s="194" t="s">
        <v>251</v>
      </c>
      <c r="C8" s="181">
        <f>+Cuestionario!C7</f>
        <v>0</v>
      </c>
      <c r="D8" s="181"/>
      <c r="E8" s="181"/>
      <c r="F8" s="181"/>
      <c r="G8" s="181"/>
      <c r="H8" s="181"/>
      <c r="I8" s="181"/>
      <c r="J8" s="181"/>
    </row>
    <row r="9" spans="1:10" ht="8.25" customHeight="1">
      <c r="B9" s="193"/>
      <c r="C9" s="181"/>
      <c r="D9" s="181"/>
      <c r="E9" s="181"/>
      <c r="F9" s="181"/>
      <c r="G9" s="181"/>
      <c r="H9" s="181"/>
      <c r="I9" s="181"/>
      <c r="J9" s="181"/>
    </row>
    <row r="10" spans="1:10">
      <c r="B10" s="194" t="s">
        <v>337</v>
      </c>
      <c r="C10" s="181">
        <f>+Cuestionario!C17</f>
        <v>0</v>
      </c>
      <c r="D10" s="181"/>
      <c r="E10" s="181"/>
      <c r="F10" s="181"/>
      <c r="G10" s="181"/>
      <c r="H10" s="181"/>
      <c r="I10" s="181"/>
      <c r="J10" s="181"/>
    </row>
    <row r="11" spans="1:10" ht="12.75" customHeight="1">
      <c r="B11" s="193"/>
      <c r="C11" s="181"/>
      <c r="D11" s="181"/>
      <c r="E11" s="181"/>
      <c r="F11" s="181"/>
      <c r="G11" s="181"/>
      <c r="H11" s="181"/>
      <c r="I11" s="181"/>
      <c r="J11" s="181"/>
    </row>
    <row r="12" spans="1:10" ht="19.5" customHeight="1">
      <c r="B12" s="194" t="s">
        <v>278</v>
      </c>
      <c r="C12" s="181"/>
      <c r="D12" s="181"/>
      <c r="E12" s="1356">
        <f>+Cuestionario!C63</f>
        <v>0</v>
      </c>
      <c r="F12" s="1356"/>
      <c r="G12" s="1356"/>
      <c r="H12" s="1356"/>
      <c r="I12" s="1356"/>
      <c r="J12" s="1356"/>
    </row>
    <row r="13" spans="1:10" ht="72.75" customHeight="1">
      <c r="B13" s="193"/>
      <c r="C13" s="181"/>
      <c r="D13" s="181"/>
      <c r="E13" s="1356"/>
      <c r="F13" s="1356"/>
      <c r="G13" s="1356"/>
      <c r="H13" s="1356"/>
      <c r="I13" s="1356"/>
      <c r="J13" s="1356"/>
    </row>
    <row r="14" spans="1:10">
      <c r="B14" s="194" t="s">
        <v>279</v>
      </c>
      <c r="C14" s="181"/>
      <c r="D14" s="181"/>
      <c r="E14" s="181" t="str">
        <f>+Cuestionario!I5</f>
        <v>S.L.</v>
      </c>
      <c r="F14" s="181"/>
      <c r="G14" s="181"/>
      <c r="H14" s="181"/>
      <c r="I14" s="181"/>
      <c r="J14" s="181"/>
    </row>
    <row r="15" spans="1:10">
      <c r="B15" s="194"/>
      <c r="C15" s="181"/>
      <c r="D15" s="181"/>
      <c r="E15" s="181"/>
      <c r="F15" s="181"/>
      <c r="G15" s="181"/>
      <c r="H15" s="181"/>
      <c r="I15" s="181"/>
      <c r="J15" s="181"/>
    </row>
    <row r="16" spans="1:10">
      <c r="B16" s="194" t="s">
        <v>284</v>
      </c>
      <c r="C16" s="181"/>
      <c r="D16" s="181"/>
      <c r="E16" s="1360">
        <f>+Cuestionario!C11</f>
        <v>44197</v>
      </c>
      <c r="F16" s="1360"/>
      <c r="G16" s="181"/>
      <c r="H16" s="181"/>
      <c r="I16" s="181"/>
      <c r="J16" s="181"/>
    </row>
    <row r="17" spans="2:10">
      <c r="B17" s="193"/>
      <c r="C17" s="181"/>
      <c r="D17" s="181"/>
      <c r="E17" s="181"/>
      <c r="F17" s="181"/>
      <c r="G17" s="181"/>
      <c r="H17" s="181"/>
      <c r="I17" s="181"/>
      <c r="J17" s="181"/>
    </row>
    <row r="18" spans="2:10" ht="24.75" customHeight="1">
      <c r="B18" s="193"/>
      <c r="C18" s="181"/>
      <c r="D18" s="181"/>
      <c r="E18" s="181"/>
      <c r="F18" s="181"/>
      <c r="G18" s="181"/>
      <c r="H18" s="181"/>
      <c r="I18" s="181"/>
      <c r="J18" s="181"/>
    </row>
    <row r="19" spans="2:10">
      <c r="B19" s="193" t="s">
        <v>338</v>
      </c>
      <c r="C19" s="181"/>
      <c r="D19" s="181"/>
      <c r="E19" s="181"/>
      <c r="F19" s="181"/>
      <c r="G19" s="181"/>
      <c r="H19" s="181"/>
      <c r="I19" s="181"/>
      <c r="J19" s="181"/>
    </row>
    <row r="20" spans="2:10">
      <c r="B20" s="194" t="s">
        <v>249</v>
      </c>
      <c r="C20" s="181"/>
      <c r="D20" s="181"/>
      <c r="E20" s="181"/>
      <c r="F20" s="181"/>
      <c r="G20" s="181"/>
      <c r="H20" s="181"/>
      <c r="I20" s="181"/>
      <c r="J20" s="181"/>
    </row>
    <row r="21" spans="2:10">
      <c r="B21" s="193"/>
      <c r="C21" s="181"/>
      <c r="D21" s="181"/>
      <c r="E21" s="181"/>
      <c r="F21" s="181"/>
      <c r="G21" s="181"/>
      <c r="H21" s="181"/>
      <c r="I21" s="181"/>
      <c r="J21" s="181"/>
    </row>
    <row r="22" spans="2:10">
      <c r="B22" s="193"/>
      <c r="C22" s="181"/>
      <c r="D22" s="181"/>
      <c r="E22" s="181"/>
      <c r="F22" s="181"/>
      <c r="G22" s="181"/>
      <c r="H22" s="181"/>
      <c r="I22" s="181"/>
      <c r="J22" s="181"/>
    </row>
    <row r="23" spans="2:10">
      <c r="B23" s="193"/>
      <c r="C23" s="181"/>
      <c r="D23" s="181"/>
      <c r="E23" s="181"/>
      <c r="F23" s="181"/>
      <c r="G23" s="181"/>
      <c r="H23" s="181"/>
      <c r="I23" s="181"/>
      <c r="J23" s="181"/>
    </row>
    <row r="24" spans="2:10">
      <c r="B24" s="181"/>
      <c r="C24" s="181"/>
      <c r="D24" s="181"/>
      <c r="E24" s="181"/>
      <c r="F24" s="181"/>
      <c r="G24" s="181"/>
      <c r="H24" s="181"/>
      <c r="I24" s="181"/>
      <c r="J24" s="181"/>
    </row>
    <row r="25" spans="2:10">
      <c r="B25" s="181"/>
      <c r="C25" s="181"/>
      <c r="D25" s="181"/>
      <c r="E25" s="181"/>
      <c r="F25" s="181"/>
      <c r="G25" s="181"/>
      <c r="H25" s="181"/>
      <c r="I25" s="181"/>
      <c r="J25" s="181"/>
    </row>
    <row r="26" spans="2:10">
      <c r="B26" s="181"/>
      <c r="C26" s="181"/>
      <c r="D26" s="181"/>
      <c r="E26" s="181"/>
      <c r="F26" s="181"/>
      <c r="G26" s="181"/>
      <c r="H26" s="181"/>
      <c r="I26" s="181"/>
      <c r="J26" s="181"/>
    </row>
    <row r="27" spans="2:10">
      <c r="B27" s="181"/>
      <c r="C27" s="181"/>
      <c r="D27" s="181"/>
      <c r="E27" s="181"/>
      <c r="F27" s="181"/>
      <c r="G27" s="181"/>
      <c r="H27" s="181"/>
      <c r="I27" s="181"/>
      <c r="J27" s="181"/>
    </row>
    <row r="28" spans="2:10">
      <c r="B28" s="181"/>
      <c r="C28" s="181"/>
      <c r="D28" s="181"/>
      <c r="E28" s="181"/>
      <c r="F28" s="181"/>
      <c r="G28" s="181"/>
      <c r="H28" s="195"/>
      <c r="I28" s="181"/>
      <c r="J28" s="181"/>
    </row>
    <row r="29" spans="2:10" ht="41.25" customHeight="1">
      <c r="B29" s="181"/>
      <c r="C29" s="181"/>
      <c r="D29" s="181"/>
      <c r="E29" s="181"/>
      <c r="F29" s="181"/>
      <c r="G29" s="181"/>
      <c r="H29" s="195"/>
      <c r="I29" s="181"/>
      <c r="J29" s="181"/>
    </row>
    <row r="30" spans="2:10">
      <c r="B30" s="188" t="s">
        <v>285</v>
      </c>
      <c r="C30" s="181"/>
      <c r="D30" s="181"/>
      <c r="E30" s="181"/>
      <c r="F30" s="181"/>
      <c r="G30" s="181"/>
      <c r="H30" s="181"/>
      <c r="I30" s="181"/>
      <c r="J30" s="181"/>
    </row>
    <row r="31" spans="2:10">
      <c r="B31" s="181"/>
      <c r="C31" s="181"/>
      <c r="D31" s="181"/>
      <c r="E31" s="181"/>
      <c r="F31" s="181"/>
      <c r="G31" s="181"/>
      <c r="H31" s="181"/>
      <c r="I31" s="181"/>
      <c r="J31" s="181"/>
    </row>
    <row r="32" spans="2:10">
      <c r="B32" s="196" t="s">
        <v>286</v>
      </c>
      <c r="C32" s="181"/>
      <c r="D32" s="181"/>
      <c r="E32" s="181"/>
      <c r="F32" s="181"/>
      <c r="G32" s="181"/>
      <c r="H32" s="181"/>
      <c r="I32" s="181"/>
      <c r="J32" s="181"/>
    </row>
    <row r="33" spans="2:10">
      <c r="B33" s="188" t="s">
        <v>293</v>
      </c>
      <c r="C33" s="181"/>
      <c r="D33" s="181"/>
      <c r="E33" s="181"/>
      <c r="F33" s="181"/>
      <c r="G33" s="181"/>
      <c r="H33" s="181"/>
      <c r="I33" s="181"/>
      <c r="J33" s="181"/>
    </row>
    <row r="34" spans="2:10">
      <c r="B34" s="188" t="s">
        <v>294</v>
      </c>
      <c r="C34" s="181"/>
      <c r="D34" s="181"/>
      <c r="E34" s="181"/>
      <c r="F34" s="181"/>
      <c r="G34" s="181"/>
      <c r="H34" s="181"/>
      <c r="I34" s="181"/>
      <c r="J34" s="181"/>
    </row>
    <row r="35" spans="2:10">
      <c r="B35" s="196" t="s">
        <v>287</v>
      </c>
      <c r="C35" s="181"/>
      <c r="D35" s="181"/>
      <c r="E35" s="181"/>
      <c r="F35" s="181"/>
      <c r="G35" s="181"/>
      <c r="H35" s="181"/>
      <c r="I35" s="181"/>
      <c r="J35" s="181"/>
    </row>
    <row r="36" spans="2:10">
      <c r="B36" s="188" t="s">
        <v>295</v>
      </c>
      <c r="C36" s="181"/>
      <c r="D36" s="181"/>
      <c r="E36" s="181"/>
      <c r="F36" s="181"/>
      <c r="G36" s="181"/>
      <c r="H36" s="181"/>
      <c r="I36" s="181"/>
      <c r="J36" s="181"/>
    </row>
    <row r="37" spans="2:10">
      <c r="B37" s="188" t="s">
        <v>296</v>
      </c>
      <c r="C37" s="181"/>
      <c r="D37" s="181"/>
      <c r="E37" s="181"/>
      <c r="F37" s="181"/>
      <c r="G37" s="181"/>
      <c r="H37" s="181"/>
      <c r="I37" s="181"/>
      <c r="J37" s="181"/>
    </row>
    <row r="38" spans="2:10">
      <c r="B38" s="188" t="s">
        <v>297</v>
      </c>
      <c r="C38" s="181"/>
      <c r="D38" s="181"/>
      <c r="E38" s="181"/>
      <c r="F38" s="181"/>
      <c r="G38" s="181"/>
      <c r="H38" s="181"/>
      <c r="I38" s="181"/>
      <c r="J38" s="181"/>
    </row>
    <row r="39" spans="2:10">
      <c r="B39" s="188" t="s">
        <v>314</v>
      </c>
      <c r="C39" s="181"/>
      <c r="D39" s="181"/>
      <c r="E39" s="181"/>
      <c r="F39" s="181"/>
      <c r="G39" s="181"/>
      <c r="H39" s="181"/>
      <c r="I39" s="181"/>
      <c r="J39" s="181"/>
    </row>
    <row r="40" spans="2:10">
      <c r="B40" s="188" t="s">
        <v>315</v>
      </c>
      <c r="C40" s="181"/>
      <c r="D40" s="181"/>
      <c r="E40" s="181"/>
      <c r="F40" s="181"/>
      <c r="G40" s="181"/>
      <c r="H40" s="181"/>
      <c r="I40" s="181"/>
      <c r="J40" s="181"/>
    </row>
    <row r="41" spans="2:10">
      <c r="B41" s="188" t="s">
        <v>298</v>
      </c>
      <c r="C41" s="181"/>
      <c r="D41" s="181"/>
      <c r="E41" s="181"/>
      <c r="F41" s="181"/>
      <c r="G41" s="181"/>
      <c r="H41" s="181"/>
      <c r="I41" s="181"/>
      <c r="J41" s="181"/>
    </row>
    <row r="42" spans="2:10">
      <c r="B42" s="188" t="s">
        <v>299</v>
      </c>
      <c r="C42" s="181"/>
      <c r="D42" s="181"/>
      <c r="E42" s="181"/>
      <c r="F42" s="181"/>
      <c r="G42" s="181"/>
      <c r="H42" s="181"/>
      <c r="I42" s="181"/>
      <c r="J42" s="181"/>
    </row>
    <row r="43" spans="2:10">
      <c r="B43" s="196" t="s">
        <v>288</v>
      </c>
      <c r="C43" s="181"/>
      <c r="D43" s="181"/>
      <c r="E43" s="181"/>
      <c r="F43" s="181"/>
      <c r="G43" s="181"/>
      <c r="H43" s="181"/>
      <c r="I43" s="181" t="s">
        <v>46</v>
      </c>
      <c r="J43" s="181"/>
    </row>
    <row r="44" spans="2:10">
      <c r="B44" s="188" t="s">
        <v>300</v>
      </c>
      <c r="C44" s="181"/>
      <c r="D44" s="181"/>
      <c r="E44" s="181"/>
      <c r="F44" s="181"/>
      <c r="G44" s="181"/>
      <c r="H44" s="181"/>
      <c r="I44" s="181"/>
      <c r="J44" s="181"/>
    </row>
    <row r="45" spans="2:10">
      <c r="B45" s="188" t="s">
        <v>377</v>
      </c>
      <c r="C45" s="181"/>
      <c r="D45" s="181"/>
      <c r="E45" s="181"/>
      <c r="F45" s="181"/>
      <c r="G45" s="181"/>
      <c r="H45" s="181"/>
      <c r="I45" s="181"/>
      <c r="J45" s="181"/>
    </row>
    <row r="46" spans="2:10" ht="17.25" customHeight="1">
      <c r="B46" s="188" t="s">
        <v>321</v>
      </c>
      <c r="C46" s="181"/>
      <c r="D46" s="181"/>
      <c r="E46" s="181"/>
      <c r="F46" s="181"/>
      <c r="G46" s="181"/>
      <c r="H46" s="181"/>
      <c r="I46" s="181"/>
      <c r="J46" s="181"/>
    </row>
    <row r="47" spans="2:10" ht="17.25" customHeight="1">
      <c r="B47" s="196" t="s">
        <v>289</v>
      </c>
      <c r="C47" s="181"/>
      <c r="D47" s="181"/>
      <c r="E47" s="181"/>
      <c r="F47" s="181"/>
      <c r="G47" s="181"/>
      <c r="H47" s="181"/>
      <c r="I47" s="181"/>
      <c r="J47" s="181"/>
    </row>
    <row r="48" spans="2:10">
      <c r="B48" s="188" t="s">
        <v>301</v>
      </c>
      <c r="C48" s="181"/>
      <c r="D48" s="181"/>
      <c r="E48" s="181"/>
      <c r="F48" s="181"/>
      <c r="G48" s="181"/>
      <c r="H48" s="181"/>
      <c r="I48" s="181"/>
      <c r="J48" s="181"/>
    </row>
    <row r="49" spans="2:10">
      <c r="B49" s="188" t="s">
        <v>324</v>
      </c>
      <c r="C49" s="181"/>
      <c r="D49" s="181"/>
      <c r="E49" s="181"/>
      <c r="F49" s="181"/>
      <c r="G49" s="181"/>
      <c r="H49" s="181"/>
      <c r="I49" s="181"/>
      <c r="J49" s="181"/>
    </row>
    <row r="50" spans="2:10">
      <c r="B50" s="196" t="s">
        <v>290</v>
      </c>
      <c r="C50" s="181"/>
      <c r="D50" s="181"/>
      <c r="E50" s="181"/>
      <c r="F50" s="181"/>
      <c r="G50" s="181"/>
      <c r="H50" s="181"/>
      <c r="I50" s="181"/>
      <c r="J50" s="181"/>
    </row>
    <row r="51" spans="2:10">
      <c r="B51" s="188" t="s">
        <v>302</v>
      </c>
      <c r="C51" s="181"/>
      <c r="D51" s="181"/>
      <c r="E51" s="181"/>
      <c r="F51" s="181"/>
      <c r="G51" s="181"/>
      <c r="H51" s="181"/>
      <c r="I51" s="181"/>
      <c r="J51" s="181"/>
    </row>
    <row r="52" spans="2:10">
      <c r="B52" s="188" t="s">
        <v>303</v>
      </c>
      <c r="C52" s="181"/>
      <c r="D52" s="181"/>
      <c r="E52" s="181"/>
      <c r="F52" s="181"/>
      <c r="G52" s="181"/>
      <c r="H52" s="181"/>
      <c r="I52" s="181"/>
      <c r="J52" s="181"/>
    </row>
    <row r="53" spans="2:10">
      <c r="B53" s="196" t="s">
        <v>291</v>
      </c>
      <c r="C53" s="181"/>
      <c r="D53" s="181"/>
      <c r="E53" s="181"/>
      <c r="F53" s="181"/>
      <c r="G53" s="181"/>
      <c r="H53" s="181"/>
      <c r="I53" s="181"/>
      <c r="J53" s="181"/>
    </row>
    <row r="54" spans="2:10">
      <c r="B54" s="188" t="s">
        <v>305</v>
      </c>
      <c r="C54" s="181"/>
      <c r="D54" s="181"/>
      <c r="E54" s="181"/>
      <c r="F54" s="181"/>
      <c r="G54" s="181"/>
      <c r="H54" s="181"/>
      <c r="I54" s="181"/>
      <c r="J54" s="181"/>
    </row>
    <row r="55" spans="2:10">
      <c r="B55" s="188" t="s">
        <v>306</v>
      </c>
      <c r="C55" s="181"/>
      <c r="D55" s="181"/>
      <c r="E55" s="181"/>
      <c r="F55" s="181"/>
      <c r="G55" s="181"/>
      <c r="H55" s="181"/>
      <c r="I55" s="181"/>
      <c r="J55" s="181"/>
    </row>
    <row r="56" spans="2:10">
      <c r="B56" s="188" t="s">
        <v>307</v>
      </c>
      <c r="C56" s="181"/>
      <c r="D56" s="181"/>
      <c r="E56" s="181"/>
      <c r="F56" s="181"/>
      <c r="G56" s="181"/>
      <c r="H56" s="181"/>
      <c r="I56" s="181"/>
      <c r="J56" s="181"/>
    </row>
    <row r="57" spans="2:10">
      <c r="B57" s="188" t="s">
        <v>308</v>
      </c>
      <c r="C57" s="181"/>
      <c r="D57" s="181"/>
      <c r="E57" s="181"/>
      <c r="F57" s="181"/>
      <c r="G57" s="181"/>
      <c r="H57" s="181"/>
      <c r="I57" s="181"/>
      <c r="J57" s="181"/>
    </row>
    <row r="58" spans="2:10">
      <c r="B58" s="188" t="s">
        <v>309</v>
      </c>
      <c r="C58" s="181"/>
      <c r="D58" s="181"/>
      <c r="E58" s="181"/>
      <c r="F58" s="181"/>
      <c r="G58" s="181"/>
      <c r="H58" s="181"/>
      <c r="I58" s="181"/>
      <c r="J58" s="181"/>
    </row>
    <row r="59" spans="2:10">
      <c r="B59" s="196" t="s">
        <v>292</v>
      </c>
      <c r="C59" s="181"/>
      <c r="D59" s="181"/>
      <c r="E59" s="181"/>
      <c r="F59" s="181"/>
      <c r="G59" s="181"/>
      <c r="H59" s="181"/>
      <c r="I59" s="181"/>
      <c r="J59" s="181"/>
    </row>
    <row r="60" spans="2:10">
      <c r="B60" s="197" t="s">
        <v>304</v>
      </c>
      <c r="C60" s="181"/>
      <c r="D60" s="181"/>
      <c r="E60" s="181"/>
      <c r="F60" s="181"/>
      <c r="G60" s="181"/>
      <c r="H60" s="181"/>
      <c r="I60" s="181"/>
      <c r="J60" s="181"/>
    </row>
    <row r="61" spans="2:10" ht="99" customHeight="1">
      <c r="B61" s="1361" t="str">
        <f>Cuestionario!E87</f>
        <v>ANEXOS:
1. Currículum Vitae promotores</v>
      </c>
      <c r="C61" s="1361"/>
      <c r="D61" s="1361"/>
      <c r="E61" s="1361"/>
      <c r="F61" s="1361"/>
      <c r="G61" s="1361"/>
      <c r="H61" s="1361"/>
      <c r="I61" s="398"/>
      <c r="J61" s="181"/>
    </row>
    <row r="62" spans="2:10">
      <c r="B62" s="196" t="s">
        <v>286</v>
      </c>
      <c r="C62" s="181"/>
      <c r="D62" s="181"/>
      <c r="E62" s="181"/>
      <c r="F62" s="181"/>
      <c r="G62" s="181"/>
      <c r="H62" s="181"/>
      <c r="I62" s="181"/>
      <c r="J62" s="181"/>
    </row>
    <row r="63" spans="2:10" ht="33.75" customHeight="1">
      <c r="B63" s="188" t="s">
        <v>293</v>
      </c>
      <c r="C63" s="181"/>
      <c r="D63" s="181"/>
      <c r="E63" s="181"/>
      <c r="F63" s="181"/>
      <c r="G63" s="181"/>
      <c r="H63" s="181"/>
      <c r="I63" s="181"/>
      <c r="J63" s="181"/>
    </row>
    <row r="64" spans="2:10" ht="96.75" customHeight="1">
      <c r="B64" s="1357">
        <f>+Cuestionario!C13</f>
        <v>0</v>
      </c>
      <c r="C64" s="1341"/>
      <c r="D64" s="1341"/>
      <c r="E64" s="1341"/>
      <c r="F64" s="1341"/>
      <c r="G64" s="1341"/>
      <c r="H64" s="1341"/>
      <c r="I64" s="1341"/>
      <c r="J64" s="1342"/>
    </row>
    <row r="65" spans="2:13" ht="59.25" customHeight="1">
      <c r="B65" s="1358">
        <f>+Cuestionario!C14</f>
        <v>0</v>
      </c>
      <c r="C65" s="1359"/>
      <c r="D65" s="1359"/>
      <c r="E65" s="1359"/>
      <c r="F65" s="1359"/>
      <c r="G65" s="1359"/>
      <c r="H65" s="1359"/>
      <c r="I65" s="1359"/>
      <c r="J65" s="1359"/>
    </row>
    <row r="66" spans="2:13" ht="11.25" customHeight="1">
      <c r="B66" s="198"/>
      <c r="C66" s="198"/>
      <c r="D66" s="198"/>
      <c r="E66" s="198"/>
      <c r="F66" s="198"/>
      <c r="G66" s="198"/>
      <c r="H66" s="181"/>
      <c r="I66" s="181"/>
      <c r="J66" s="181"/>
    </row>
    <row r="67" spans="2:13">
      <c r="B67" s="188" t="s">
        <v>294</v>
      </c>
      <c r="C67" s="181"/>
      <c r="D67" s="181"/>
      <c r="E67" s="181"/>
      <c r="F67" s="181"/>
      <c r="G67" s="181"/>
      <c r="H67" s="181"/>
      <c r="I67" s="181"/>
      <c r="J67" s="181"/>
    </row>
    <row r="68" spans="2:13">
      <c r="B68" s="181"/>
      <c r="C68" s="181"/>
      <c r="D68" s="181"/>
      <c r="E68" s="181"/>
      <c r="F68" s="181"/>
      <c r="G68" s="181"/>
      <c r="H68" s="181"/>
      <c r="I68" s="181"/>
      <c r="J68" s="181"/>
    </row>
    <row r="69" spans="2:13" ht="65.25">
      <c r="B69" s="238" t="s">
        <v>254</v>
      </c>
      <c r="C69" s="239" t="s">
        <v>255</v>
      </c>
      <c r="D69" s="239" t="s">
        <v>256</v>
      </c>
      <c r="E69" s="239" t="s">
        <v>257</v>
      </c>
      <c r="F69" s="239" t="s">
        <v>258</v>
      </c>
      <c r="G69" s="239" t="s">
        <v>259</v>
      </c>
      <c r="H69" s="239" t="s">
        <v>260</v>
      </c>
      <c r="I69" s="239" t="s">
        <v>261</v>
      </c>
      <c r="J69" s="239" t="s">
        <v>262</v>
      </c>
    </row>
    <row r="70" spans="2:13" ht="27" customHeight="1">
      <c r="B70" s="240">
        <f>+Cuestionario!B17</f>
        <v>0</v>
      </c>
      <c r="C70" s="241">
        <f>+Cuestionario!C17</f>
        <v>0</v>
      </c>
      <c r="D70" s="240">
        <f>+Cuestionario!D17</f>
        <v>0</v>
      </c>
      <c r="E70" s="240">
        <f>+Cuestionario!E17</f>
        <v>0</v>
      </c>
      <c r="F70" s="240">
        <f>+Cuestionario!F17</f>
        <v>0</v>
      </c>
      <c r="G70" s="240">
        <f>+Cuestionario!G17</f>
        <v>0</v>
      </c>
      <c r="H70" s="241">
        <f>+Cuestionario!H17</f>
        <v>0</v>
      </c>
      <c r="I70" s="240">
        <f>+Cuestionario!I17</f>
        <v>0</v>
      </c>
      <c r="J70" s="241">
        <f>+Cuestionario!J17</f>
        <v>0</v>
      </c>
    </row>
    <row r="71" spans="2:13" ht="27" customHeight="1">
      <c r="B71" s="240">
        <f>+Cuestionario!B18</f>
        <v>0</v>
      </c>
      <c r="C71" s="240">
        <f>+Cuestionario!C18</f>
        <v>0</v>
      </c>
      <c r="D71" s="240">
        <f>+Cuestionario!D18</f>
        <v>0</v>
      </c>
      <c r="E71" s="240">
        <f>+Cuestionario!E18</f>
        <v>0</v>
      </c>
      <c r="F71" s="240">
        <f>+Cuestionario!F18</f>
        <v>0</v>
      </c>
      <c r="G71" s="240">
        <f>+Cuestionario!G18</f>
        <v>0</v>
      </c>
      <c r="H71" s="240">
        <f>+Cuestionario!H18</f>
        <v>0</v>
      </c>
      <c r="I71" s="240">
        <f>+Cuestionario!I18</f>
        <v>0</v>
      </c>
      <c r="J71" s="240">
        <f>+Cuestionario!J18</f>
        <v>0</v>
      </c>
    </row>
    <row r="72" spans="2:13" ht="27" customHeight="1">
      <c r="B72" s="240">
        <f>+Cuestionario!B19</f>
        <v>0</v>
      </c>
      <c r="C72" s="240">
        <f>+Cuestionario!C19</f>
        <v>0</v>
      </c>
      <c r="D72" s="240">
        <f>+Cuestionario!D19</f>
        <v>0</v>
      </c>
      <c r="E72" s="240">
        <f>+Cuestionario!E19</f>
        <v>0</v>
      </c>
      <c r="F72" s="240">
        <f>+Cuestionario!F19</f>
        <v>0</v>
      </c>
      <c r="G72" s="240">
        <f>+Cuestionario!G19</f>
        <v>0</v>
      </c>
      <c r="H72" s="240">
        <f>+Cuestionario!H19</f>
        <v>0</v>
      </c>
      <c r="I72" s="240">
        <f>+Cuestionario!I19</f>
        <v>0</v>
      </c>
      <c r="J72" s="240">
        <f>+Cuestionario!J19</f>
        <v>0</v>
      </c>
    </row>
    <row r="73" spans="2:13" ht="27" customHeight="1">
      <c r="B73" s="240">
        <f>+Cuestionario!B22</f>
        <v>0</v>
      </c>
      <c r="C73" s="240">
        <f>+Cuestionario!C22</f>
        <v>0</v>
      </c>
      <c r="D73" s="240">
        <f>+Cuestionario!D22</f>
        <v>0</v>
      </c>
      <c r="E73" s="240">
        <f>+Cuestionario!E22</f>
        <v>0</v>
      </c>
      <c r="F73" s="240">
        <f>+Cuestionario!F22</f>
        <v>0</v>
      </c>
      <c r="G73" s="240">
        <f>+Cuestionario!G22</f>
        <v>0</v>
      </c>
      <c r="H73" s="240">
        <f>+Cuestionario!H22</f>
        <v>0</v>
      </c>
      <c r="I73" s="240">
        <f>+Cuestionario!I22</f>
        <v>0</v>
      </c>
      <c r="J73" s="240">
        <f>+Cuestionario!J22</f>
        <v>0</v>
      </c>
    </row>
    <row r="74" spans="2:13" ht="56.25" customHeight="1">
      <c r="B74" s="397" t="s">
        <v>378</v>
      </c>
      <c r="C74" s="181"/>
      <c r="D74" s="181"/>
      <c r="E74" s="181"/>
      <c r="F74" s="181"/>
      <c r="G74" s="181"/>
      <c r="H74" s="181"/>
      <c r="I74" s="181"/>
      <c r="J74" s="181"/>
    </row>
    <row r="75" spans="2:13">
      <c r="B75" s="196" t="s">
        <v>287</v>
      </c>
      <c r="C75" s="181"/>
      <c r="D75" s="181"/>
      <c r="E75" s="181"/>
      <c r="F75" s="181"/>
      <c r="G75" s="181"/>
      <c r="H75" s="181"/>
      <c r="I75" s="181"/>
      <c r="J75" s="181"/>
    </row>
    <row r="76" spans="2:13" ht="6.75" customHeight="1">
      <c r="B76" s="196"/>
      <c r="C76" s="181"/>
      <c r="D76" s="181"/>
      <c r="E76" s="181"/>
      <c r="F76" s="181"/>
      <c r="G76" s="181"/>
      <c r="H76" s="181"/>
      <c r="I76" s="181"/>
      <c r="J76" s="181"/>
    </row>
    <row r="77" spans="2:13" ht="27.75" customHeight="1">
      <c r="B77" s="188" t="s">
        <v>295</v>
      </c>
      <c r="C77" s="181"/>
      <c r="D77" s="181"/>
      <c r="E77" s="181"/>
      <c r="F77" s="181"/>
      <c r="G77" s="181"/>
      <c r="H77" s="181"/>
      <c r="I77" s="181"/>
      <c r="J77" s="181"/>
    </row>
    <row r="78" spans="2:13" ht="37.5" customHeight="1" thickBot="1">
      <c r="B78" s="1364" t="s">
        <v>313</v>
      </c>
      <c r="C78" s="1364"/>
      <c r="D78" s="1364"/>
      <c r="E78" s="1364"/>
      <c r="F78" s="1364"/>
      <c r="G78" s="1364"/>
      <c r="H78" s="1364"/>
      <c r="I78" s="1364"/>
      <c r="J78" s="1364"/>
    </row>
    <row r="79" spans="2:13" ht="19.5" thickBot="1">
      <c r="B79" s="1365" t="s">
        <v>69</v>
      </c>
      <c r="C79" s="1366"/>
      <c r="D79" s="1366"/>
      <c r="E79" s="1367"/>
      <c r="F79" s="1365" t="s">
        <v>78</v>
      </c>
      <c r="G79" s="1366"/>
      <c r="H79" s="1367"/>
      <c r="I79" s="1365" t="s">
        <v>71</v>
      </c>
      <c r="J79" s="1367"/>
      <c r="M79" s="169"/>
    </row>
    <row r="80" spans="2:13" ht="45" customHeight="1">
      <c r="B80" s="233" t="s">
        <v>68</v>
      </c>
      <c r="C80" s="233" t="s">
        <v>312</v>
      </c>
      <c r="D80" s="233" t="s">
        <v>70</v>
      </c>
      <c r="E80" s="233" t="s">
        <v>74</v>
      </c>
      <c r="F80" s="233" t="s">
        <v>311</v>
      </c>
      <c r="G80" s="233" t="s">
        <v>79</v>
      </c>
      <c r="H80" s="233" t="s">
        <v>93</v>
      </c>
      <c r="I80" s="233" t="s">
        <v>72</v>
      </c>
      <c r="J80" s="233" t="s">
        <v>73</v>
      </c>
    </row>
    <row r="81" spans="2:10">
      <c r="B81" s="234">
        <f>+Catálogo!B6</f>
        <v>0</v>
      </c>
      <c r="C81" s="234">
        <f>+Catálogo!C6</f>
        <v>0</v>
      </c>
      <c r="D81" s="684">
        <f>+Catálogo!D6</f>
        <v>0</v>
      </c>
      <c r="E81" s="235">
        <f>+Catálogo!E6</f>
        <v>0</v>
      </c>
      <c r="F81" s="236">
        <f>+Catálogo!F6</f>
        <v>0</v>
      </c>
      <c r="G81" s="235">
        <f>+Catálogo!I6</f>
        <v>0</v>
      </c>
      <c r="H81" s="236">
        <f>+Catálogo!J6</f>
        <v>0</v>
      </c>
      <c r="I81" s="236">
        <f>+Catálogo!T6</f>
        <v>0</v>
      </c>
      <c r="J81" s="237" t="str">
        <f>+Catálogo!U6</f>
        <v/>
      </c>
    </row>
    <row r="82" spans="2:10">
      <c r="B82" s="234">
        <f>+Catálogo!B7</f>
        <v>0</v>
      </c>
      <c r="C82" s="234">
        <f>+Catálogo!C7</f>
        <v>0</v>
      </c>
      <c r="D82" s="684">
        <f>+Catálogo!D7</f>
        <v>0</v>
      </c>
      <c r="E82" s="235">
        <f>+Catálogo!E7</f>
        <v>0</v>
      </c>
      <c r="F82" s="236">
        <f>+Catálogo!F7</f>
        <v>0</v>
      </c>
      <c r="G82" s="235">
        <f>+Catálogo!I7</f>
        <v>0</v>
      </c>
      <c r="H82" s="236">
        <f>+Catálogo!J7</f>
        <v>0</v>
      </c>
      <c r="I82" s="236">
        <f>+Catálogo!T7</f>
        <v>0</v>
      </c>
      <c r="J82" s="237" t="str">
        <f>+Catálogo!U7</f>
        <v/>
      </c>
    </row>
    <row r="83" spans="2:10">
      <c r="B83" s="234">
        <f>+Catálogo!B8</f>
        <v>0</v>
      </c>
      <c r="C83" s="234">
        <f>+Catálogo!C8</f>
        <v>0</v>
      </c>
      <c r="D83" s="684">
        <f>+Catálogo!D8</f>
        <v>0</v>
      </c>
      <c r="E83" s="235">
        <f>+Catálogo!E8</f>
        <v>0</v>
      </c>
      <c r="F83" s="236">
        <f>+Catálogo!F8</f>
        <v>0</v>
      </c>
      <c r="G83" s="235">
        <f>+Catálogo!I8</f>
        <v>0</v>
      </c>
      <c r="H83" s="236">
        <f>+Catálogo!J8</f>
        <v>0</v>
      </c>
      <c r="I83" s="236">
        <f>+Catálogo!T8</f>
        <v>0</v>
      </c>
      <c r="J83" s="237" t="str">
        <f>+Catálogo!U8</f>
        <v/>
      </c>
    </row>
    <row r="84" spans="2:10">
      <c r="B84" s="234">
        <f>+Catálogo!B9</f>
        <v>0</v>
      </c>
      <c r="C84" s="234">
        <f>+Catálogo!C9</f>
        <v>0</v>
      </c>
      <c r="D84" s="684">
        <f>+Catálogo!D9</f>
        <v>0</v>
      </c>
      <c r="E84" s="235">
        <f>+Catálogo!E9</f>
        <v>0</v>
      </c>
      <c r="F84" s="236">
        <f>+Catálogo!F9</f>
        <v>0</v>
      </c>
      <c r="G84" s="235">
        <f>+Catálogo!I9</f>
        <v>0</v>
      </c>
      <c r="H84" s="236">
        <f>+Catálogo!J9</f>
        <v>0</v>
      </c>
      <c r="I84" s="236">
        <f>+Catálogo!T9</f>
        <v>0</v>
      </c>
      <c r="J84" s="237" t="str">
        <f>+Catálogo!U9</f>
        <v/>
      </c>
    </row>
    <row r="85" spans="2:10">
      <c r="B85" s="234">
        <f>+Catálogo!B10</f>
        <v>0</v>
      </c>
      <c r="C85" s="234">
        <f>+Catálogo!C10</f>
        <v>0</v>
      </c>
      <c r="D85" s="684">
        <f>+Catálogo!D10</f>
        <v>0</v>
      </c>
      <c r="E85" s="235">
        <f>+Catálogo!E10</f>
        <v>0</v>
      </c>
      <c r="F85" s="236">
        <f>+Catálogo!F10</f>
        <v>0</v>
      </c>
      <c r="G85" s="235">
        <f>+Catálogo!I10</f>
        <v>0</v>
      </c>
      <c r="H85" s="236">
        <f>+Catálogo!J10</f>
        <v>0</v>
      </c>
      <c r="I85" s="236">
        <f>+Catálogo!T10</f>
        <v>0</v>
      </c>
      <c r="J85" s="237" t="str">
        <f>+Catálogo!U10</f>
        <v/>
      </c>
    </row>
    <row r="86" spans="2:10" hidden="1" outlineLevel="1">
      <c r="B86" s="234">
        <f>+Catálogo!B11</f>
        <v>0</v>
      </c>
      <c r="C86" s="234">
        <f>+Catálogo!C11</f>
        <v>0</v>
      </c>
      <c r="D86" s="234">
        <f>+Catálogo!D11</f>
        <v>0</v>
      </c>
      <c r="E86" s="235">
        <f>+Catálogo!E11</f>
        <v>0</v>
      </c>
      <c r="F86" s="236">
        <f>+Catálogo!F11</f>
        <v>0</v>
      </c>
      <c r="G86" s="235">
        <f>+Catálogo!I11</f>
        <v>0</v>
      </c>
      <c r="H86" s="236">
        <f>+Catálogo!J11</f>
        <v>0</v>
      </c>
      <c r="I86" s="236">
        <f>+Catálogo!T11</f>
        <v>0</v>
      </c>
      <c r="J86" s="237" t="str">
        <f>+Catálogo!U11</f>
        <v/>
      </c>
    </row>
    <row r="87" spans="2:10" hidden="1" outlineLevel="1">
      <c r="B87" s="234">
        <f>+Catálogo!B12</f>
        <v>0</v>
      </c>
      <c r="C87" s="234">
        <f>+Catálogo!C12</f>
        <v>0</v>
      </c>
      <c r="D87" s="234">
        <f>+Catálogo!D12</f>
        <v>0</v>
      </c>
      <c r="E87" s="235">
        <f>+Catálogo!E12</f>
        <v>0</v>
      </c>
      <c r="F87" s="236">
        <f>+Catálogo!F12</f>
        <v>0</v>
      </c>
      <c r="G87" s="235">
        <f>+Catálogo!I12</f>
        <v>0</v>
      </c>
      <c r="H87" s="236">
        <f>+Catálogo!J12</f>
        <v>0</v>
      </c>
      <c r="I87" s="236">
        <f>+Catálogo!T12</f>
        <v>0</v>
      </c>
      <c r="J87" s="237" t="str">
        <f>+Catálogo!U12</f>
        <v/>
      </c>
    </row>
    <row r="88" spans="2:10" hidden="1" outlineLevel="1">
      <c r="B88" s="234">
        <f>+Catálogo!B13</f>
        <v>0</v>
      </c>
      <c r="C88" s="234">
        <f>+Catálogo!C13</f>
        <v>0</v>
      </c>
      <c r="D88" s="234">
        <f>+Catálogo!D13</f>
        <v>0</v>
      </c>
      <c r="E88" s="235">
        <f>+Catálogo!E13</f>
        <v>0</v>
      </c>
      <c r="F88" s="236">
        <f>+Catálogo!F13</f>
        <v>0</v>
      </c>
      <c r="G88" s="235">
        <f>+Catálogo!I13</f>
        <v>0</v>
      </c>
      <c r="H88" s="236">
        <f>+Catálogo!J13</f>
        <v>0</v>
      </c>
      <c r="I88" s="236">
        <f>+Catálogo!T13</f>
        <v>0</v>
      </c>
      <c r="J88" s="237" t="str">
        <f>+Catálogo!U13</f>
        <v/>
      </c>
    </row>
    <row r="89" spans="2:10" hidden="1" outlineLevel="1">
      <c r="B89" s="234">
        <f>+Catálogo!B14</f>
        <v>0</v>
      </c>
      <c r="C89" s="234">
        <f>+Catálogo!C14</f>
        <v>0</v>
      </c>
      <c r="D89" s="234">
        <f>+Catálogo!D14</f>
        <v>0</v>
      </c>
      <c r="E89" s="235">
        <f>+Catálogo!E14</f>
        <v>0</v>
      </c>
      <c r="F89" s="236">
        <f>+Catálogo!F14</f>
        <v>0</v>
      </c>
      <c r="G89" s="235">
        <f>+Catálogo!I14</f>
        <v>0</v>
      </c>
      <c r="H89" s="236">
        <f>+Catálogo!J14</f>
        <v>0</v>
      </c>
      <c r="I89" s="236">
        <f>+Catálogo!T14</f>
        <v>0</v>
      </c>
      <c r="J89" s="237" t="str">
        <f>+Catálogo!U14</f>
        <v/>
      </c>
    </row>
    <row r="90" spans="2:10" hidden="1" outlineLevel="1">
      <c r="B90" s="234">
        <f>+Catálogo!B15</f>
        <v>0</v>
      </c>
      <c r="C90" s="234">
        <f>+Catálogo!C15</f>
        <v>0</v>
      </c>
      <c r="D90" s="234">
        <f>+Catálogo!D15</f>
        <v>0</v>
      </c>
      <c r="E90" s="235">
        <f>+Catálogo!E15</f>
        <v>0</v>
      </c>
      <c r="F90" s="236">
        <f>+Catálogo!F15</f>
        <v>0</v>
      </c>
      <c r="G90" s="235">
        <f>+Catálogo!I15</f>
        <v>0</v>
      </c>
      <c r="H90" s="236">
        <f>+Catálogo!J15</f>
        <v>0</v>
      </c>
      <c r="I90" s="236">
        <f>+Catálogo!T15</f>
        <v>0</v>
      </c>
      <c r="J90" s="237" t="str">
        <f>+Catálogo!U15</f>
        <v/>
      </c>
    </row>
    <row r="91" spans="2:10" hidden="1" outlineLevel="1">
      <c r="B91" s="234">
        <f>+Catálogo!B16</f>
        <v>0</v>
      </c>
      <c r="C91" s="234">
        <f>+Catálogo!C16</f>
        <v>0</v>
      </c>
      <c r="D91" s="234">
        <f>+Catálogo!D16</f>
        <v>0</v>
      </c>
      <c r="E91" s="235">
        <f>+Catálogo!E16</f>
        <v>0</v>
      </c>
      <c r="F91" s="236">
        <f>+Catálogo!F16</f>
        <v>0</v>
      </c>
      <c r="G91" s="235">
        <f>+Catálogo!I16</f>
        <v>0</v>
      </c>
      <c r="H91" s="236">
        <f>+Catálogo!J16</f>
        <v>0</v>
      </c>
      <c r="I91" s="236">
        <f>+Catálogo!T16</f>
        <v>0</v>
      </c>
      <c r="J91" s="237" t="str">
        <f>+Catálogo!U16</f>
        <v/>
      </c>
    </row>
    <row r="92" spans="2:10" hidden="1" outlineLevel="1">
      <c r="B92" s="234">
        <f>+Catálogo!B17</f>
        <v>0</v>
      </c>
      <c r="C92" s="234">
        <f>+Catálogo!C17</f>
        <v>0</v>
      </c>
      <c r="D92" s="234">
        <f>+Catálogo!D17</f>
        <v>0</v>
      </c>
      <c r="E92" s="235">
        <f>+Catálogo!E17</f>
        <v>0</v>
      </c>
      <c r="F92" s="236">
        <f>+Catálogo!F17</f>
        <v>0</v>
      </c>
      <c r="G92" s="235">
        <f>+Catálogo!I17</f>
        <v>0</v>
      </c>
      <c r="H92" s="236">
        <f>+Catálogo!J17</f>
        <v>0</v>
      </c>
      <c r="I92" s="236">
        <f>+Catálogo!T17</f>
        <v>0</v>
      </c>
      <c r="J92" s="237" t="str">
        <f>+Catálogo!U17</f>
        <v/>
      </c>
    </row>
    <row r="93" spans="2:10" hidden="1" outlineLevel="1">
      <c r="B93" s="234">
        <f>+Catálogo!B18</f>
        <v>0</v>
      </c>
      <c r="C93" s="234">
        <f>+Catálogo!C18</f>
        <v>0</v>
      </c>
      <c r="D93" s="234">
        <f>+Catálogo!D18</f>
        <v>0</v>
      </c>
      <c r="E93" s="235">
        <f>+Catálogo!E18</f>
        <v>0</v>
      </c>
      <c r="F93" s="236">
        <f>+Catálogo!F18</f>
        <v>0</v>
      </c>
      <c r="G93" s="235">
        <f>+Catálogo!I18</f>
        <v>0</v>
      </c>
      <c r="H93" s="236">
        <f>+Catálogo!J18</f>
        <v>0</v>
      </c>
      <c r="I93" s="236">
        <f>+Catálogo!T18</f>
        <v>0</v>
      </c>
      <c r="J93" s="237" t="str">
        <f>+Catálogo!U18</f>
        <v/>
      </c>
    </row>
    <row r="94" spans="2:10" hidden="1" outlineLevel="1">
      <c r="B94" s="234">
        <f>+Catálogo!B19</f>
        <v>0</v>
      </c>
      <c r="C94" s="234">
        <f>+Catálogo!C19</f>
        <v>0</v>
      </c>
      <c r="D94" s="234">
        <f>+Catálogo!D19</f>
        <v>0</v>
      </c>
      <c r="E94" s="235">
        <f>+Catálogo!E19</f>
        <v>0</v>
      </c>
      <c r="F94" s="236">
        <f>+Catálogo!F19</f>
        <v>0</v>
      </c>
      <c r="G94" s="235">
        <f>+Catálogo!I19</f>
        <v>0</v>
      </c>
      <c r="H94" s="236">
        <f>+Catálogo!J19</f>
        <v>0</v>
      </c>
      <c r="I94" s="236">
        <f>+Catálogo!T19</f>
        <v>0</v>
      </c>
      <c r="J94" s="237" t="str">
        <f>+Catálogo!U19</f>
        <v/>
      </c>
    </row>
    <row r="95" spans="2:10" hidden="1" outlineLevel="1">
      <c r="B95" s="234">
        <f>+Catálogo!B20</f>
        <v>0</v>
      </c>
      <c r="C95" s="234">
        <f>+Catálogo!C20</f>
        <v>0</v>
      </c>
      <c r="D95" s="234">
        <f>+Catálogo!D20</f>
        <v>0</v>
      </c>
      <c r="E95" s="235">
        <f>+Catálogo!E20</f>
        <v>0</v>
      </c>
      <c r="F95" s="236">
        <f>+Catálogo!F20</f>
        <v>0</v>
      </c>
      <c r="G95" s="235">
        <f>+Catálogo!I20</f>
        <v>0</v>
      </c>
      <c r="H95" s="236">
        <f>+Catálogo!J20</f>
        <v>0</v>
      </c>
      <c r="I95" s="236">
        <f>+Catálogo!T20</f>
        <v>0</v>
      </c>
      <c r="J95" s="237" t="str">
        <f>+Catálogo!U20</f>
        <v/>
      </c>
    </row>
    <row r="96" spans="2:10" collapsed="1">
      <c r="B96" s="188"/>
      <c r="C96" s="181"/>
      <c r="D96" s="181"/>
      <c r="E96" s="181"/>
      <c r="F96" s="181"/>
      <c r="G96" s="181"/>
      <c r="H96" s="181"/>
      <c r="I96" s="181"/>
      <c r="J96" s="181"/>
    </row>
    <row r="97" spans="2:12" ht="30" customHeight="1">
      <c r="B97" s="188" t="s">
        <v>296</v>
      </c>
      <c r="C97" s="181"/>
      <c r="D97" s="181"/>
      <c r="E97" s="181"/>
      <c r="F97" s="181"/>
      <c r="G97" s="181"/>
      <c r="H97" s="181"/>
      <c r="I97" s="181"/>
      <c r="J97" s="181"/>
    </row>
    <row r="98" spans="2:12" ht="125.25" customHeight="1">
      <c r="B98" s="1357" t="str">
        <f>"Mercado potencial: 
"&amp;+Cuestionario!E40</f>
        <v xml:space="preserve">Mercado potencial: 
</v>
      </c>
      <c r="C98" s="1341"/>
      <c r="D98" s="1341"/>
      <c r="E98" s="1341"/>
      <c r="F98" s="1341"/>
      <c r="G98" s="1341"/>
      <c r="H98" s="1341"/>
      <c r="I98" s="1341"/>
      <c r="J98" s="1342"/>
    </row>
    <row r="99" spans="2:12" ht="125.25" customHeight="1">
      <c r="B99" s="1357" t="str">
        <f>"Cuota de mercado: 
"&amp;+Cuestionario!E41</f>
        <v xml:space="preserve">Cuota de mercado: 
</v>
      </c>
      <c r="C99" s="1341"/>
      <c r="D99" s="1341"/>
      <c r="E99" s="1341"/>
      <c r="F99" s="1341"/>
      <c r="G99" s="1341"/>
      <c r="H99" s="1341"/>
      <c r="I99" s="1341"/>
      <c r="J99" s="1342"/>
    </row>
    <row r="100" spans="2:12" ht="128.25" customHeight="1">
      <c r="B100" s="1357" t="str">
        <f>"Cliente objetivo: 
"&amp;+Cuestionario!E42</f>
        <v xml:space="preserve">Cliente objetivo: 
</v>
      </c>
      <c r="C100" s="1341"/>
      <c r="D100" s="1341"/>
      <c r="E100" s="1341"/>
      <c r="F100" s="1341"/>
      <c r="G100" s="1341"/>
      <c r="H100" s="1341"/>
      <c r="I100" s="1341"/>
      <c r="J100" s="1342"/>
    </row>
    <row r="101" spans="2:12" ht="36.75" customHeight="1">
      <c r="B101" s="188" t="s">
        <v>297</v>
      </c>
      <c r="C101" s="181"/>
      <c r="D101" s="181"/>
      <c r="E101" s="181"/>
      <c r="F101" s="181"/>
      <c r="G101" s="181"/>
      <c r="H101" s="181"/>
      <c r="I101" s="181"/>
      <c r="J101" s="181"/>
    </row>
    <row r="102" spans="2:12" ht="50.25" customHeight="1">
      <c r="B102" s="1357">
        <f>+Cuestionario!E44</f>
        <v>0</v>
      </c>
      <c r="C102" s="1341"/>
      <c r="D102" s="1341"/>
      <c r="E102" s="1341"/>
      <c r="F102" s="1341"/>
      <c r="G102" s="1341"/>
      <c r="H102" s="1341"/>
      <c r="I102" s="1341"/>
      <c r="J102" s="1342"/>
    </row>
    <row r="103" spans="2:12" ht="31.5" customHeight="1">
      <c r="B103" s="188" t="s">
        <v>314</v>
      </c>
      <c r="C103" s="181"/>
      <c r="D103" s="181"/>
      <c r="E103" s="181"/>
      <c r="F103" s="181"/>
      <c r="G103" s="181"/>
      <c r="H103" s="181"/>
      <c r="I103" s="181"/>
      <c r="J103" s="181"/>
      <c r="L103" s="117" t="s">
        <v>46</v>
      </c>
    </row>
    <row r="104" spans="2:12" ht="41.25" customHeight="1">
      <c r="B104" s="1357">
        <f>Cuestionario!E45</f>
        <v>0</v>
      </c>
      <c r="C104" s="1341"/>
      <c r="D104" s="1341"/>
      <c r="E104" s="1341"/>
      <c r="F104" s="1341"/>
      <c r="G104" s="1341"/>
      <c r="H104" s="1341"/>
      <c r="I104" s="1341"/>
      <c r="J104" s="1342"/>
    </row>
    <row r="105" spans="2:12" ht="33.75" customHeight="1">
      <c r="B105" s="188" t="s">
        <v>315</v>
      </c>
      <c r="C105" s="181"/>
      <c r="D105" s="181"/>
      <c r="E105" s="181"/>
      <c r="F105" s="181"/>
      <c r="G105" s="181"/>
      <c r="H105" s="181"/>
      <c r="I105" s="181"/>
      <c r="J105" s="181"/>
    </row>
    <row r="106" spans="2:12" ht="29.25" customHeight="1">
      <c r="B106" s="1357">
        <f>+Cuestionario!E49</f>
        <v>0</v>
      </c>
      <c r="C106" s="1341"/>
      <c r="D106" s="1341"/>
      <c r="E106" s="1341"/>
      <c r="F106" s="1341"/>
      <c r="G106" s="1341"/>
      <c r="H106" s="1341"/>
      <c r="I106" s="1341"/>
      <c r="J106" s="1342"/>
    </row>
    <row r="107" spans="2:12" ht="33.75" customHeight="1">
      <c r="B107" s="188" t="s">
        <v>298</v>
      </c>
      <c r="C107" s="181"/>
      <c r="D107" s="181"/>
      <c r="E107" s="181"/>
      <c r="F107" s="181"/>
      <c r="G107" s="181"/>
      <c r="H107" s="181"/>
      <c r="I107" s="181"/>
      <c r="J107" s="181"/>
    </row>
    <row r="108" spans="2:12" ht="54.75" customHeight="1">
      <c r="B108" s="1357">
        <f>+Cuestionario!E47</f>
        <v>0</v>
      </c>
      <c r="C108" s="1341"/>
      <c r="D108" s="1341"/>
      <c r="E108" s="1341"/>
      <c r="F108" s="1341"/>
      <c r="G108" s="1341"/>
      <c r="H108" s="1341"/>
      <c r="I108" s="1341"/>
      <c r="J108" s="1342"/>
    </row>
    <row r="109" spans="2:12" ht="33.75" customHeight="1">
      <c r="B109" s="188" t="s">
        <v>299</v>
      </c>
      <c r="C109" s="181"/>
      <c r="D109" s="181"/>
      <c r="E109" s="181"/>
      <c r="F109" s="181"/>
      <c r="G109" s="181"/>
      <c r="H109" s="181"/>
      <c r="I109" s="181"/>
      <c r="J109" s="181"/>
    </row>
    <row r="110" spans="2:12" ht="109.5" customHeight="1">
      <c r="B110" s="1363">
        <f>+Ventas!C61</f>
        <v>0</v>
      </c>
      <c r="C110" s="1363"/>
      <c r="D110" s="1363"/>
      <c r="E110" s="1363"/>
      <c r="F110" s="1363"/>
      <c r="G110" s="1363"/>
      <c r="H110" s="1363"/>
      <c r="I110" s="1363"/>
      <c r="J110" s="1363"/>
    </row>
    <row r="111" spans="2:12" ht="27.75" customHeight="1">
      <c r="B111" s="200" t="s">
        <v>316</v>
      </c>
      <c r="C111" s="181"/>
      <c r="D111" s="181"/>
      <c r="E111" s="181"/>
      <c r="F111" s="181"/>
      <c r="G111" s="181"/>
      <c r="H111" s="181"/>
      <c r="I111" s="181"/>
      <c r="J111" s="181"/>
    </row>
    <row r="112" spans="2:12">
      <c r="B112" s="188"/>
      <c r="C112" s="1346">
        <f>+Resultados!C2</f>
        <v>2021</v>
      </c>
      <c r="D112" s="1348"/>
      <c r="E112" s="1346">
        <f>+Resultados!E2</f>
        <v>2022</v>
      </c>
      <c r="F112" s="1348"/>
      <c r="G112" s="1346">
        <f>+Resultados!G2</f>
        <v>2023</v>
      </c>
      <c r="H112" s="1348"/>
      <c r="I112" s="181"/>
      <c r="J112" s="181"/>
    </row>
    <row r="113" spans="2:13">
      <c r="B113" s="201">
        <f>+Cuestionario!$C$11</f>
        <v>44197</v>
      </c>
      <c r="C113" s="179">
        <f>+'Resultados mensuales '!C$4</f>
        <v>0</v>
      </c>
      <c r="D113" s="361" t="e">
        <f t="shared" ref="D113:F124" si="0">+C113/C$125</f>
        <v>#DIV/0!</v>
      </c>
      <c r="E113" s="179">
        <f>+'Resultados mensuales '!O$4</f>
        <v>0</v>
      </c>
      <c r="F113" s="361" t="e">
        <f t="shared" si="0"/>
        <v>#DIV/0!</v>
      </c>
      <c r="G113" s="179">
        <f>+'Resultados mensuales '!AA$4</f>
        <v>0</v>
      </c>
      <c r="H113" s="361" t="e">
        <f t="shared" ref="H113" si="1">+G113/G$125</f>
        <v>#DIV/0!</v>
      </c>
      <c r="I113" s="181"/>
      <c r="J113" s="181"/>
    </row>
    <row r="114" spans="2:13">
      <c r="B114" s="201">
        <f>EDATE(B113,1)</f>
        <v>44228</v>
      </c>
      <c r="C114" s="179">
        <f>+'Resultados mensuales '!D$4</f>
        <v>0</v>
      </c>
      <c r="D114" s="361" t="e">
        <f t="shared" si="0"/>
        <v>#DIV/0!</v>
      </c>
      <c r="E114" s="179">
        <f>+'Resultados mensuales '!P$4</f>
        <v>0</v>
      </c>
      <c r="F114" s="361" t="e">
        <f t="shared" si="0"/>
        <v>#DIV/0!</v>
      </c>
      <c r="G114" s="179">
        <f>+'Resultados mensuales '!AB$4</f>
        <v>0</v>
      </c>
      <c r="H114" s="361" t="e">
        <f t="shared" ref="H114" si="2">+G114/G$125</f>
        <v>#DIV/0!</v>
      </c>
      <c r="I114" s="181"/>
      <c r="J114" s="181"/>
    </row>
    <row r="115" spans="2:13">
      <c r="B115" s="201">
        <f t="shared" ref="B115:B124" si="3">EDATE(B114,1)</f>
        <v>44256</v>
      </c>
      <c r="C115" s="179">
        <f>+'Resultados mensuales '!E$4</f>
        <v>0</v>
      </c>
      <c r="D115" s="361" t="e">
        <f t="shared" si="0"/>
        <v>#DIV/0!</v>
      </c>
      <c r="E115" s="179">
        <f>+'Resultados mensuales '!Q$4</f>
        <v>0</v>
      </c>
      <c r="F115" s="361" t="e">
        <f t="shared" si="0"/>
        <v>#DIV/0!</v>
      </c>
      <c r="G115" s="179">
        <f>+'Resultados mensuales '!AC$4</f>
        <v>0</v>
      </c>
      <c r="H115" s="361" t="e">
        <f t="shared" ref="H115" si="4">+G115/G$125</f>
        <v>#DIV/0!</v>
      </c>
      <c r="I115" s="181"/>
      <c r="J115" s="181"/>
    </row>
    <row r="116" spans="2:13">
      <c r="B116" s="201">
        <f t="shared" si="3"/>
        <v>44287</v>
      </c>
      <c r="C116" s="179">
        <f>+'Resultados mensuales '!F$4</f>
        <v>0</v>
      </c>
      <c r="D116" s="361" t="e">
        <f t="shared" si="0"/>
        <v>#DIV/0!</v>
      </c>
      <c r="E116" s="179">
        <f>+'Resultados mensuales '!R$4</f>
        <v>0</v>
      </c>
      <c r="F116" s="361" t="e">
        <f t="shared" si="0"/>
        <v>#DIV/0!</v>
      </c>
      <c r="G116" s="179">
        <f>+'Resultados mensuales '!AD$4</f>
        <v>0</v>
      </c>
      <c r="H116" s="361" t="e">
        <f t="shared" ref="H116" si="5">+G116/G$125</f>
        <v>#DIV/0!</v>
      </c>
      <c r="I116" s="181"/>
      <c r="J116" s="181"/>
    </row>
    <row r="117" spans="2:13">
      <c r="B117" s="201">
        <f t="shared" si="3"/>
        <v>44317</v>
      </c>
      <c r="C117" s="179">
        <f>+'Resultados mensuales '!G$4</f>
        <v>0</v>
      </c>
      <c r="D117" s="361" t="e">
        <f t="shared" si="0"/>
        <v>#DIV/0!</v>
      </c>
      <c r="E117" s="179">
        <f>+'Resultados mensuales '!S$4</f>
        <v>0</v>
      </c>
      <c r="F117" s="361" t="e">
        <f t="shared" si="0"/>
        <v>#DIV/0!</v>
      </c>
      <c r="G117" s="179">
        <f>+'Resultados mensuales '!AE$4</f>
        <v>0</v>
      </c>
      <c r="H117" s="361" t="e">
        <f t="shared" ref="H117" si="6">+G117/G$125</f>
        <v>#DIV/0!</v>
      </c>
      <c r="I117" s="181"/>
      <c r="J117" s="181"/>
    </row>
    <row r="118" spans="2:13">
      <c r="B118" s="201">
        <f t="shared" si="3"/>
        <v>44348</v>
      </c>
      <c r="C118" s="179">
        <f>+'Resultados mensuales '!H$4</f>
        <v>0</v>
      </c>
      <c r="D118" s="361" t="e">
        <f t="shared" si="0"/>
        <v>#DIV/0!</v>
      </c>
      <c r="E118" s="179">
        <f>+'Resultados mensuales '!T$4</f>
        <v>0</v>
      </c>
      <c r="F118" s="361" t="e">
        <f t="shared" si="0"/>
        <v>#DIV/0!</v>
      </c>
      <c r="G118" s="179">
        <f>+'Resultados mensuales '!AF$4</f>
        <v>0</v>
      </c>
      <c r="H118" s="361" t="e">
        <f t="shared" ref="H118" si="7">+G118/G$125</f>
        <v>#DIV/0!</v>
      </c>
      <c r="I118" s="181"/>
      <c r="J118" s="181"/>
    </row>
    <row r="119" spans="2:13">
      <c r="B119" s="201">
        <f t="shared" si="3"/>
        <v>44378</v>
      </c>
      <c r="C119" s="179">
        <f>+'Resultados mensuales '!I$4</f>
        <v>0</v>
      </c>
      <c r="D119" s="361" t="e">
        <f t="shared" si="0"/>
        <v>#DIV/0!</v>
      </c>
      <c r="E119" s="179">
        <f>+'Resultados mensuales '!U$4</f>
        <v>0</v>
      </c>
      <c r="F119" s="361" t="e">
        <f t="shared" si="0"/>
        <v>#DIV/0!</v>
      </c>
      <c r="G119" s="179">
        <f>+'Resultados mensuales '!AG$4</f>
        <v>0</v>
      </c>
      <c r="H119" s="361" t="e">
        <f t="shared" ref="H119" si="8">+G119/G$125</f>
        <v>#DIV/0!</v>
      </c>
      <c r="I119" s="181"/>
      <c r="J119" s="181"/>
    </row>
    <row r="120" spans="2:13">
      <c r="B120" s="201">
        <f t="shared" si="3"/>
        <v>44409</v>
      </c>
      <c r="C120" s="179">
        <f>+'Resultados mensuales '!J$4</f>
        <v>0</v>
      </c>
      <c r="D120" s="361" t="e">
        <f t="shared" si="0"/>
        <v>#DIV/0!</v>
      </c>
      <c r="E120" s="179">
        <f>+'Resultados mensuales '!V$4</f>
        <v>0</v>
      </c>
      <c r="F120" s="361" t="e">
        <f t="shared" si="0"/>
        <v>#DIV/0!</v>
      </c>
      <c r="G120" s="179">
        <f>+'Resultados mensuales '!AH$4</f>
        <v>0</v>
      </c>
      <c r="H120" s="361" t="e">
        <f t="shared" ref="H120" si="9">+G120/G$125</f>
        <v>#DIV/0!</v>
      </c>
      <c r="I120" s="181"/>
      <c r="J120" s="181"/>
    </row>
    <row r="121" spans="2:13">
      <c r="B121" s="201">
        <f t="shared" si="3"/>
        <v>44440</v>
      </c>
      <c r="C121" s="179">
        <f>+'Resultados mensuales '!K$4</f>
        <v>0</v>
      </c>
      <c r="D121" s="361" t="e">
        <f t="shared" si="0"/>
        <v>#DIV/0!</v>
      </c>
      <c r="E121" s="179">
        <f>+'Resultados mensuales '!W$4</f>
        <v>0</v>
      </c>
      <c r="F121" s="361" t="e">
        <f t="shared" si="0"/>
        <v>#DIV/0!</v>
      </c>
      <c r="G121" s="179">
        <f>+'Resultados mensuales '!AI$4</f>
        <v>0</v>
      </c>
      <c r="H121" s="361" t="e">
        <f t="shared" ref="H121" si="10">+G121/G$125</f>
        <v>#DIV/0!</v>
      </c>
      <c r="I121" s="181"/>
      <c r="J121" s="181"/>
    </row>
    <row r="122" spans="2:13">
      <c r="B122" s="201">
        <f t="shared" si="3"/>
        <v>44470</v>
      </c>
      <c r="C122" s="179">
        <f>+'Resultados mensuales '!L$4</f>
        <v>0</v>
      </c>
      <c r="D122" s="361" t="e">
        <f t="shared" si="0"/>
        <v>#DIV/0!</v>
      </c>
      <c r="E122" s="179">
        <f>+'Resultados mensuales '!X$4</f>
        <v>0</v>
      </c>
      <c r="F122" s="361" t="e">
        <f t="shared" si="0"/>
        <v>#DIV/0!</v>
      </c>
      <c r="G122" s="179">
        <f>+'Resultados mensuales '!AJ$4</f>
        <v>0</v>
      </c>
      <c r="H122" s="361" t="e">
        <f t="shared" ref="H122" si="11">+G122/G$125</f>
        <v>#DIV/0!</v>
      </c>
      <c r="I122" s="181"/>
      <c r="J122" s="181"/>
    </row>
    <row r="123" spans="2:13">
      <c r="B123" s="201">
        <f t="shared" si="3"/>
        <v>44501</v>
      </c>
      <c r="C123" s="179">
        <f>+'Resultados mensuales '!M$4</f>
        <v>0</v>
      </c>
      <c r="D123" s="361" t="e">
        <f t="shared" si="0"/>
        <v>#DIV/0!</v>
      </c>
      <c r="E123" s="179">
        <f>+'Resultados mensuales '!Y$4</f>
        <v>0</v>
      </c>
      <c r="F123" s="361" t="e">
        <f t="shared" si="0"/>
        <v>#DIV/0!</v>
      </c>
      <c r="G123" s="179">
        <f>+'Resultados mensuales '!AK$4</f>
        <v>0</v>
      </c>
      <c r="H123" s="361" t="e">
        <f t="shared" ref="H123" si="12">+G123/G$125</f>
        <v>#DIV/0!</v>
      </c>
      <c r="I123" s="181"/>
      <c r="J123" s="181"/>
    </row>
    <row r="124" spans="2:13">
      <c r="B124" s="201">
        <f t="shared" si="3"/>
        <v>44531</v>
      </c>
      <c r="C124" s="179">
        <f>+'Resultados mensuales '!N$4</f>
        <v>0</v>
      </c>
      <c r="D124" s="361" t="e">
        <f t="shared" si="0"/>
        <v>#DIV/0!</v>
      </c>
      <c r="E124" s="179">
        <f>+'Resultados mensuales '!Z$4</f>
        <v>0</v>
      </c>
      <c r="F124" s="361" t="e">
        <f t="shared" si="0"/>
        <v>#DIV/0!</v>
      </c>
      <c r="G124" s="179">
        <f>+'Resultados mensuales '!AL$4</f>
        <v>0</v>
      </c>
      <c r="H124" s="361" t="e">
        <f t="shared" ref="H124" si="13">+G124/G$125</f>
        <v>#DIV/0!</v>
      </c>
      <c r="I124" s="181"/>
      <c r="J124" s="181"/>
    </row>
    <row r="125" spans="2:13">
      <c r="B125" s="202" t="s">
        <v>267</v>
      </c>
      <c r="C125" s="270">
        <f>SUM(C113:C124)</f>
        <v>0</v>
      </c>
      <c r="D125" s="362" t="e">
        <f>+C125/C$125</f>
        <v>#DIV/0!</v>
      </c>
      <c r="E125" s="270">
        <f>SUM(E113:E124)</f>
        <v>0</v>
      </c>
      <c r="F125" s="362" t="e">
        <f>+E125/E$125</f>
        <v>#DIV/0!</v>
      </c>
      <c r="G125" s="270">
        <f>SUM(G113:G124)</f>
        <v>0</v>
      </c>
      <c r="H125" s="362" t="e">
        <f>+G125/G$125</f>
        <v>#DIV/0!</v>
      </c>
      <c r="I125" s="181"/>
      <c r="J125" s="181"/>
    </row>
    <row r="126" spans="2:13" ht="168" customHeight="1">
      <c r="B126" s="188"/>
      <c r="C126" s="181"/>
      <c r="D126" s="181"/>
      <c r="E126" s="181"/>
      <c r="F126" s="181"/>
      <c r="G126" s="181"/>
      <c r="H126" s="181"/>
      <c r="I126" s="181"/>
      <c r="J126" s="181"/>
    </row>
    <row r="127" spans="2:13">
      <c r="B127" s="196" t="s">
        <v>288</v>
      </c>
      <c r="C127" s="181"/>
      <c r="D127" s="181"/>
      <c r="E127" s="181"/>
      <c r="F127" s="181"/>
      <c r="G127" s="181"/>
      <c r="H127" s="181"/>
      <c r="I127" s="181"/>
      <c r="J127" s="181"/>
    </row>
    <row r="128" spans="2:13" ht="35.25" customHeight="1">
      <c r="B128" s="188" t="s">
        <v>300</v>
      </c>
      <c r="C128" s="181"/>
      <c r="D128" s="181"/>
      <c r="E128" s="181"/>
      <c r="F128" s="181"/>
      <c r="G128" s="181"/>
      <c r="H128" s="181"/>
      <c r="I128" s="181"/>
      <c r="J128" s="181"/>
      <c r="M128" s="117" t="s">
        <v>46</v>
      </c>
    </row>
    <row r="129" spans="2:10" ht="22.5" customHeight="1">
      <c r="B129" s="1357">
        <f>+Cuestionario!E50</f>
        <v>0</v>
      </c>
      <c r="C129" s="1341"/>
      <c r="D129" s="1341"/>
      <c r="E129" s="1341"/>
      <c r="F129" s="1341"/>
      <c r="G129" s="1341"/>
      <c r="H129" s="1341"/>
      <c r="I129" s="1341"/>
      <c r="J129" s="1342"/>
    </row>
    <row r="130" spans="2:10" ht="36" customHeight="1">
      <c r="B130" s="188" t="s">
        <v>377</v>
      </c>
      <c r="C130" s="181"/>
      <c r="D130" s="181"/>
      <c r="E130" s="181"/>
      <c r="F130" s="181"/>
      <c r="G130" s="181"/>
      <c r="H130" s="181"/>
      <c r="I130" s="181"/>
      <c r="J130" s="181"/>
    </row>
    <row r="131" spans="2:10">
      <c r="B131" s="203" t="s">
        <v>317</v>
      </c>
      <c r="C131" s="181"/>
      <c r="D131" s="181"/>
      <c r="E131" s="181"/>
      <c r="F131" s="181"/>
      <c r="G131" s="181"/>
      <c r="H131" s="181"/>
      <c r="I131" s="181"/>
      <c r="J131" s="181"/>
    </row>
    <row r="132" spans="2:10">
      <c r="B132" s="1362" t="s">
        <v>20</v>
      </c>
      <c r="C132" s="1362"/>
      <c r="D132" s="1362" t="s">
        <v>2</v>
      </c>
      <c r="E132" s="1362"/>
      <c r="F132" s="204" t="s">
        <v>22</v>
      </c>
      <c r="G132" s="204" t="s">
        <v>23</v>
      </c>
      <c r="H132" s="205" t="s">
        <v>134</v>
      </c>
      <c r="I132" s="181"/>
      <c r="J132" s="181"/>
    </row>
    <row r="133" spans="2:10">
      <c r="B133" s="1333">
        <f>+'Inversión-Financiación'!B4</f>
        <v>0</v>
      </c>
      <c r="C133" s="1334"/>
      <c r="D133" s="1333">
        <f>+'Inversión-Financiación'!C4</f>
        <v>0</v>
      </c>
      <c r="E133" s="1334"/>
      <c r="F133" s="596">
        <f>+'Inversión-Financiación'!D4</f>
        <v>0</v>
      </c>
      <c r="G133" s="596">
        <f>+'Inversión-Financiación'!E4</f>
        <v>0</v>
      </c>
      <c r="H133" s="596">
        <f>+'Inversión-Financiación'!F4</f>
        <v>0</v>
      </c>
      <c r="I133" s="181"/>
      <c r="J133" s="181"/>
    </row>
    <row r="134" spans="2:10">
      <c r="B134" s="1333">
        <f>+'Inversión-Financiación'!B5</f>
        <v>0</v>
      </c>
      <c r="C134" s="1334"/>
      <c r="D134" s="1333">
        <f>+'Inversión-Financiación'!C5</f>
        <v>0</v>
      </c>
      <c r="E134" s="1334"/>
      <c r="F134" s="596">
        <f>+'Inversión-Financiación'!D5</f>
        <v>0</v>
      </c>
      <c r="G134" s="596">
        <f>+'Inversión-Financiación'!E5</f>
        <v>0</v>
      </c>
      <c r="H134" s="596">
        <f>+'Inversión-Financiación'!F5</f>
        <v>0</v>
      </c>
      <c r="I134" s="181"/>
      <c r="J134" s="181"/>
    </row>
    <row r="135" spans="2:10">
      <c r="B135" s="1333">
        <f>+'Inversión-Financiación'!B6</f>
        <v>0</v>
      </c>
      <c r="C135" s="1334"/>
      <c r="D135" s="1333">
        <f>+'Inversión-Financiación'!C6</f>
        <v>0</v>
      </c>
      <c r="E135" s="1334"/>
      <c r="F135" s="596">
        <f>+'Inversión-Financiación'!D6</f>
        <v>0</v>
      </c>
      <c r="G135" s="596">
        <f>+'Inversión-Financiación'!E6</f>
        <v>0</v>
      </c>
      <c r="H135" s="596">
        <f>+'Inversión-Financiación'!F6</f>
        <v>0</v>
      </c>
      <c r="I135" s="181"/>
      <c r="J135" s="181"/>
    </row>
    <row r="136" spans="2:10">
      <c r="B136" s="1333">
        <f>+'Inversión-Financiación'!B7</f>
        <v>0</v>
      </c>
      <c r="C136" s="1334"/>
      <c r="D136" s="1333">
        <f>+'Inversión-Financiación'!C7</f>
        <v>0</v>
      </c>
      <c r="E136" s="1334"/>
      <c r="F136" s="596">
        <f>+'Inversión-Financiación'!D7</f>
        <v>0</v>
      </c>
      <c r="G136" s="596">
        <f>+'Inversión-Financiación'!E7</f>
        <v>0</v>
      </c>
      <c r="H136" s="596">
        <f>+'Inversión-Financiación'!F7</f>
        <v>0</v>
      </c>
      <c r="I136" s="181"/>
      <c r="J136" s="181"/>
    </row>
    <row r="137" spans="2:10">
      <c r="B137" s="1333">
        <f>+'Inversión-Financiación'!B8</f>
        <v>0</v>
      </c>
      <c r="C137" s="1334"/>
      <c r="D137" s="1333">
        <f>+'Inversión-Financiación'!C8</f>
        <v>0</v>
      </c>
      <c r="E137" s="1334"/>
      <c r="F137" s="206">
        <f>+'Inversión-Financiación'!D8</f>
        <v>0</v>
      </c>
      <c r="G137" s="206">
        <f>+'Inversión-Financiación'!E8</f>
        <v>0</v>
      </c>
      <c r="H137" s="206">
        <f>+'Inversión-Financiación'!F8</f>
        <v>0</v>
      </c>
      <c r="I137" s="181"/>
      <c r="J137" s="181"/>
    </row>
    <row r="138" spans="2:10">
      <c r="B138" s="1333">
        <f>+'Inversión-Financiación'!B9</f>
        <v>0</v>
      </c>
      <c r="C138" s="1334"/>
      <c r="D138" s="1333">
        <f>+'Inversión-Financiación'!C9</f>
        <v>0</v>
      </c>
      <c r="E138" s="1334"/>
      <c r="F138" s="206">
        <f>+'Inversión-Financiación'!D9</f>
        <v>0</v>
      </c>
      <c r="G138" s="206">
        <f>+'Inversión-Financiación'!E9</f>
        <v>0</v>
      </c>
      <c r="H138" s="206">
        <f>+'Inversión-Financiación'!F9</f>
        <v>0</v>
      </c>
      <c r="I138" s="181"/>
      <c r="J138" s="181"/>
    </row>
    <row r="139" spans="2:10">
      <c r="B139" s="1333">
        <f>+'Inversión-Financiación'!B10</f>
        <v>0</v>
      </c>
      <c r="C139" s="1334"/>
      <c r="D139" s="1333">
        <f>+'Inversión-Financiación'!C10</f>
        <v>0</v>
      </c>
      <c r="E139" s="1334"/>
      <c r="F139" s="206">
        <f>+'Inversión-Financiación'!D10</f>
        <v>0</v>
      </c>
      <c r="G139" s="206">
        <f>+'Inversión-Financiación'!E10</f>
        <v>0</v>
      </c>
      <c r="H139" s="206">
        <f>+'Inversión-Financiación'!F10</f>
        <v>0</v>
      </c>
      <c r="I139" s="181"/>
      <c r="J139" s="181"/>
    </row>
    <row r="140" spans="2:10" outlineLevel="1">
      <c r="B140" s="1333">
        <f>+'Inversión-Financiación'!B11</f>
        <v>0</v>
      </c>
      <c r="C140" s="1334"/>
      <c r="D140" s="1333">
        <f>+'Inversión-Financiación'!C11</f>
        <v>0</v>
      </c>
      <c r="E140" s="1334"/>
      <c r="F140" s="206">
        <f>+'Inversión-Financiación'!D11</f>
        <v>0</v>
      </c>
      <c r="G140" s="206">
        <f>+'Inversión-Financiación'!E11</f>
        <v>0</v>
      </c>
      <c r="H140" s="206">
        <f>+'Inversión-Financiación'!F11</f>
        <v>0</v>
      </c>
      <c r="I140" s="181"/>
      <c r="J140" s="181"/>
    </row>
    <row r="141" spans="2:10" outlineLevel="1">
      <c r="B141" s="1333">
        <f>+'Inversión-Financiación'!B12</f>
        <v>0</v>
      </c>
      <c r="C141" s="1334"/>
      <c r="D141" s="1333">
        <f>+'Inversión-Financiación'!C12</f>
        <v>0</v>
      </c>
      <c r="E141" s="1334"/>
      <c r="F141" s="206">
        <f>+'Inversión-Financiación'!D12</f>
        <v>0</v>
      </c>
      <c r="G141" s="206">
        <f>+'Inversión-Financiación'!E12</f>
        <v>0</v>
      </c>
      <c r="H141" s="206">
        <f>+'Inversión-Financiación'!F12</f>
        <v>0</v>
      </c>
      <c r="I141" s="181"/>
      <c r="J141" s="181"/>
    </row>
    <row r="142" spans="2:10" outlineLevel="1">
      <c r="B142" s="1333">
        <f>+'Inversión-Financiación'!B13</f>
        <v>0</v>
      </c>
      <c r="C142" s="1334"/>
      <c r="D142" s="1333">
        <f>+'Inversión-Financiación'!C13</f>
        <v>0</v>
      </c>
      <c r="E142" s="1334"/>
      <c r="F142" s="206">
        <f>+'Inversión-Financiación'!D13</f>
        <v>0</v>
      </c>
      <c r="G142" s="206">
        <f>+'Inversión-Financiación'!E13</f>
        <v>0</v>
      </c>
      <c r="H142" s="206">
        <f>+'Inversión-Financiación'!F13</f>
        <v>0</v>
      </c>
      <c r="I142" s="181"/>
      <c r="J142" s="181"/>
    </row>
    <row r="143" spans="2:10" outlineLevel="1">
      <c r="B143" s="1333">
        <f>+'Inversión-Financiación'!B14</f>
        <v>0</v>
      </c>
      <c r="C143" s="1334"/>
      <c r="D143" s="1333">
        <f>+'Inversión-Financiación'!C14</f>
        <v>0</v>
      </c>
      <c r="E143" s="1334"/>
      <c r="F143" s="206">
        <f>+'Inversión-Financiación'!D14</f>
        <v>0</v>
      </c>
      <c r="G143" s="206">
        <f>+'Inversión-Financiación'!E14</f>
        <v>0</v>
      </c>
      <c r="H143" s="206">
        <f>+'Inversión-Financiación'!F14</f>
        <v>0</v>
      </c>
      <c r="I143" s="181"/>
      <c r="J143" s="181"/>
    </row>
    <row r="144" spans="2:10" outlineLevel="1">
      <c r="B144" s="1333">
        <f>+'Inversión-Financiación'!B15</f>
        <v>0</v>
      </c>
      <c r="C144" s="1334"/>
      <c r="D144" s="1333">
        <f>+'Inversión-Financiación'!C15</f>
        <v>0</v>
      </c>
      <c r="E144" s="1334"/>
      <c r="F144" s="206">
        <f>+'Inversión-Financiación'!D15</f>
        <v>0</v>
      </c>
      <c r="G144" s="206">
        <f>+'Inversión-Financiación'!E15</f>
        <v>0</v>
      </c>
      <c r="H144" s="206">
        <f>+'Inversión-Financiación'!F15</f>
        <v>0</v>
      </c>
      <c r="I144" s="181"/>
      <c r="J144" s="181"/>
    </row>
    <row r="145" spans="2:10" outlineLevel="1">
      <c r="B145" s="1333">
        <f>+'Inversión-Financiación'!B16</f>
        <v>0</v>
      </c>
      <c r="C145" s="1334"/>
      <c r="D145" s="1333">
        <f>+'Inversión-Financiación'!C16</f>
        <v>0</v>
      </c>
      <c r="E145" s="1334"/>
      <c r="F145" s="206">
        <f>+'Inversión-Financiación'!D16</f>
        <v>0</v>
      </c>
      <c r="G145" s="206">
        <f>+'Inversión-Financiación'!E16</f>
        <v>0</v>
      </c>
      <c r="H145" s="206">
        <f>+'Inversión-Financiación'!F16</f>
        <v>0</v>
      </c>
      <c r="I145" s="181"/>
      <c r="J145" s="181"/>
    </row>
    <row r="146" spans="2:10" outlineLevel="1">
      <c r="B146" s="1333">
        <f>+'Inversión-Financiación'!B17</f>
        <v>0</v>
      </c>
      <c r="C146" s="1334"/>
      <c r="D146" s="1333">
        <f>+'Inversión-Financiación'!C17</f>
        <v>0</v>
      </c>
      <c r="E146" s="1334"/>
      <c r="F146" s="206">
        <f>+'Inversión-Financiación'!D17</f>
        <v>0</v>
      </c>
      <c r="G146" s="206">
        <f>+'Inversión-Financiación'!E17</f>
        <v>0</v>
      </c>
      <c r="H146" s="206">
        <f>+'Inversión-Financiación'!F17</f>
        <v>0</v>
      </c>
      <c r="I146" s="181"/>
      <c r="J146" s="181"/>
    </row>
    <row r="147" spans="2:10" outlineLevel="1">
      <c r="B147" s="1333">
        <f>+'Inversión-Financiación'!B18</f>
        <v>0</v>
      </c>
      <c r="C147" s="1334"/>
      <c r="D147" s="1333">
        <f>+'Inversión-Financiación'!C18</f>
        <v>0</v>
      </c>
      <c r="E147" s="1334"/>
      <c r="F147" s="206">
        <f>+'Inversión-Financiación'!D18</f>
        <v>0</v>
      </c>
      <c r="G147" s="206">
        <f>+'Inversión-Financiación'!E18</f>
        <v>0</v>
      </c>
      <c r="H147" s="206">
        <f>+'Inversión-Financiación'!F18</f>
        <v>0</v>
      </c>
      <c r="I147" s="181"/>
      <c r="J147" s="181"/>
    </row>
    <row r="148" spans="2:10" outlineLevel="1">
      <c r="B148" s="1333">
        <f>+'Inversión-Financiación'!B19</f>
        <v>0</v>
      </c>
      <c r="C148" s="1334"/>
      <c r="D148" s="1333">
        <f>+'Inversión-Financiación'!C19</f>
        <v>0</v>
      </c>
      <c r="E148" s="1334"/>
      <c r="F148" s="206">
        <f>+'Inversión-Financiación'!D19</f>
        <v>0</v>
      </c>
      <c r="G148" s="206">
        <f>+'Inversión-Financiación'!E19</f>
        <v>0</v>
      </c>
      <c r="H148" s="206">
        <f>+'Inversión-Financiación'!F19</f>
        <v>0</v>
      </c>
      <c r="I148" s="181"/>
      <c r="J148" s="181"/>
    </row>
    <row r="149" spans="2:10">
      <c r="B149" s="1369" t="str">
        <f>+'Inversión-Financiación'!B21</f>
        <v xml:space="preserve"> </v>
      </c>
      <c r="C149" s="1370"/>
      <c r="D149" s="1371" t="str">
        <f>+'Inversión-Financiación'!C21</f>
        <v>TOTAL</v>
      </c>
      <c r="E149" s="1372"/>
      <c r="F149" s="597">
        <f>SUM(F133:F148)</f>
        <v>0</v>
      </c>
      <c r="G149" s="268">
        <f>+'Inversión-Financiación'!E21</f>
        <v>0</v>
      </c>
      <c r="H149" s="268">
        <f>+'Inversión-Financiación'!F21</f>
        <v>0</v>
      </c>
      <c r="I149" s="207"/>
      <c r="J149" s="181"/>
    </row>
    <row r="150" spans="2:10">
      <c r="B150" s="1368" t="str">
        <f>+'Inversión-Financiación'!B40</f>
        <v>TESORERÍA INICIAL</v>
      </c>
      <c r="C150" s="1368"/>
      <c r="D150" s="1368"/>
      <c r="E150" s="1368"/>
      <c r="F150" s="678"/>
      <c r="G150" s="677"/>
      <c r="H150" s="679">
        <f>+'Inversión-Financiación'!F40</f>
        <v>0</v>
      </c>
      <c r="I150" s="207"/>
      <c r="J150" s="181"/>
    </row>
    <row r="151" spans="2:10">
      <c r="B151" s="675"/>
      <c r="C151" s="682"/>
      <c r="D151" s="680" t="s">
        <v>112</v>
      </c>
      <c r="E151" s="681"/>
      <c r="F151" s="678"/>
      <c r="G151" s="677"/>
      <c r="H151" s="679">
        <f>+H149+H150</f>
        <v>0</v>
      </c>
      <c r="I151" s="207"/>
      <c r="J151" s="181"/>
    </row>
    <row r="152" spans="2:10" ht="9" customHeight="1">
      <c r="B152" s="675"/>
      <c r="C152" s="675"/>
      <c r="D152" s="676"/>
      <c r="E152" s="676"/>
      <c r="F152" s="678"/>
      <c r="G152" s="677"/>
      <c r="H152" s="679"/>
      <c r="I152" s="207"/>
      <c r="J152" s="181"/>
    </row>
    <row r="153" spans="2:10" ht="32.25" customHeight="1">
      <c r="B153" s="288" t="str">
        <f>'Inversión-Financiación'!B24</f>
        <v>Descripción</v>
      </c>
      <c r="C153" s="1231" t="str">
        <f>'Inversión-Financiación'!C24</f>
        <v>Cuenta</v>
      </c>
      <c r="D153" s="1231"/>
      <c r="E153" s="1231"/>
      <c r="F153" s="117"/>
      <c r="G153" s="677"/>
      <c r="H153" s="683" t="str">
        <f>'Inversión-Financiación'!F24</f>
        <v>Total € inicial</v>
      </c>
      <c r="I153" s="207"/>
      <c r="J153" s="181"/>
    </row>
    <row r="154" spans="2:10">
      <c r="B154" s="12">
        <f>'Inversión-Financiación'!B25</f>
        <v>0</v>
      </c>
      <c r="C154" s="1221">
        <f>'Inversión-Financiación'!C25</f>
        <v>0</v>
      </c>
      <c r="D154" s="1222"/>
      <c r="E154" s="1223"/>
      <c r="F154" s="117"/>
      <c r="G154" s="677"/>
      <c r="H154" s="12">
        <f>'Inversión-Financiación'!F25</f>
        <v>0</v>
      </c>
      <c r="I154" s="207"/>
      <c r="J154" s="181"/>
    </row>
    <row r="155" spans="2:10">
      <c r="B155" s="12">
        <f>'Inversión-Financiación'!B26</f>
        <v>0</v>
      </c>
      <c r="C155" s="1221">
        <f>'Inversión-Financiación'!C26</f>
        <v>0</v>
      </c>
      <c r="D155" s="1222"/>
      <c r="E155" s="1223"/>
      <c r="F155" s="117"/>
      <c r="G155" s="677"/>
      <c r="H155" s="12">
        <f>'Inversión-Financiación'!F26</f>
        <v>0</v>
      </c>
      <c r="I155" s="207"/>
      <c r="J155" s="181"/>
    </row>
    <row r="156" spans="2:10">
      <c r="B156" s="12">
        <f>'Inversión-Financiación'!B27</f>
        <v>0</v>
      </c>
      <c r="C156" s="1221">
        <f>'Inversión-Financiación'!C27</f>
        <v>0</v>
      </c>
      <c r="D156" s="1222"/>
      <c r="E156" s="1223"/>
      <c r="F156" s="117"/>
      <c r="G156" s="677"/>
      <c r="H156" s="12">
        <f>'Inversión-Financiación'!F27</f>
        <v>0</v>
      </c>
      <c r="I156" s="207"/>
      <c r="J156" s="181"/>
    </row>
    <row r="157" spans="2:10">
      <c r="B157" s="12">
        <f>'Inversión-Financiación'!B28</f>
        <v>0</v>
      </c>
      <c r="C157" s="1221">
        <f>'Inversión-Financiación'!C28</f>
        <v>0</v>
      </c>
      <c r="D157" s="1222"/>
      <c r="E157" s="1223"/>
      <c r="F157" s="117"/>
      <c r="G157" s="677"/>
      <c r="H157" s="12">
        <f>'Inversión-Financiación'!F28</f>
        <v>0</v>
      </c>
      <c r="I157" s="207"/>
      <c r="J157" s="181"/>
    </row>
    <row r="158" spans="2:10">
      <c r="B158" s="12">
        <f>'Inversión-Financiación'!B29</f>
        <v>0</v>
      </c>
      <c r="C158" s="1221">
        <f>'Inversión-Financiación'!C29</f>
        <v>0</v>
      </c>
      <c r="D158" s="1222"/>
      <c r="E158" s="1223"/>
      <c r="F158" s="117"/>
      <c r="G158" s="677"/>
      <c r="H158" s="12">
        <f>'Inversión-Financiación'!F29</f>
        <v>0</v>
      </c>
      <c r="I158" s="207"/>
      <c r="J158" s="181"/>
    </row>
    <row r="159" spans="2:10">
      <c r="B159" s="12">
        <f>'Inversión-Financiación'!B30</f>
        <v>0</v>
      </c>
      <c r="C159" s="1221">
        <f>'Inversión-Financiación'!C30</f>
        <v>0</v>
      </c>
      <c r="D159" s="1222"/>
      <c r="E159" s="1223"/>
      <c r="F159" s="117"/>
      <c r="G159" s="677"/>
      <c r="H159" s="12">
        <f>'Inversión-Financiación'!F30</f>
        <v>0</v>
      </c>
      <c r="I159" s="207"/>
      <c r="J159" s="181"/>
    </row>
    <row r="160" spans="2:10" hidden="1" outlineLevel="1">
      <c r="B160" s="12">
        <f>'Inversión-Financiación'!B31</f>
        <v>0</v>
      </c>
      <c r="C160" s="1221">
        <f>'Inversión-Financiación'!C31</f>
        <v>0</v>
      </c>
      <c r="D160" s="1222"/>
      <c r="E160" s="1223"/>
      <c r="F160" s="117"/>
      <c r="G160" s="677"/>
      <c r="H160" s="12">
        <f>'Inversión-Financiación'!F31</f>
        <v>0</v>
      </c>
      <c r="I160" s="207"/>
      <c r="J160" s="181"/>
    </row>
    <row r="161" spans="2:11" hidden="1" outlineLevel="1">
      <c r="B161" s="12">
        <f>'Inversión-Financiación'!B32</f>
        <v>0</v>
      </c>
      <c r="C161" s="1221">
        <f>'Inversión-Financiación'!C32</f>
        <v>0</v>
      </c>
      <c r="D161" s="1222"/>
      <c r="E161" s="1223"/>
      <c r="F161" s="117"/>
      <c r="G161" s="677"/>
      <c r="H161" s="12">
        <f>'Inversión-Financiación'!F32</f>
        <v>0</v>
      </c>
      <c r="I161" s="207"/>
      <c r="J161" s="181"/>
    </row>
    <row r="162" spans="2:11" hidden="1" outlineLevel="1">
      <c r="B162" s="12">
        <f>'Inversión-Financiación'!B33</f>
        <v>0</v>
      </c>
      <c r="C162" s="1221">
        <f>'Inversión-Financiación'!C33</f>
        <v>0</v>
      </c>
      <c r="D162" s="1222"/>
      <c r="E162" s="1223"/>
      <c r="F162" s="117"/>
      <c r="G162" s="677"/>
      <c r="H162" s="12">
        <f>'Inversión-Financiación'!F33</f>
        <v>0</v>
      </c>
      <c r="I162" s="207"/>
      <c r="J162" s="181"/>
    </row>
    <row r="163" spans="2:11" hidden="1" outlineLevel="1">
      <c r="B163" s="12">
        <f>'Inversión-Financiación'!B34</f>
        <v>0</v>
      </c>
      <c r="C163" s="1221">
        <f>'Inversión-Financiación'!C34</f>
        <v>0</v>
      </c>
      <c r="D163" s="1222"/>
      <c r="E163" s="1223"/>
      <c r="F163" s="117"/>
      <c r="G163" s="677"/>
      <c r="H163" s="12">
        <f>'Inversión-Financiación'!F34</f>
        <v>0</v>
      </c>
      <c r="I163" s="207"/>
      <c r="J163" s="181"/>
    </row>
    <row r="164" spans="2:11" hidden="1" outlineLevel="1">
      <c r="B164" s="12">
        <f>'Inversión-Financiación'!B35</f>
        <v>0</v>
      </c>
      <c r="C164" s="1221">
        <f>'Inversión-Financiación'!C35</f>
        <v>0</v>
      </c>
      <c r="D164" s="1222"/>
      <c r="E164" s="1223"/>
      <c r="F164" s="117"/>
      <c r="G164" s="677"/>
      <c r="H164" s="12">
        <f>'Inversión-Financiación'!F35</f>
        <v>0</v>
      </c>
      <c r="I164" s="207"/>
      <c r="J164" s="181"/>
    </row>
    <row r="165" spans="2:11" hidden="1" outlineLevel="1">
      <c r="B165" s="12">
        <f>'Inversión-Financiación'!B36</f>
        <v>0</v>
      </c>
      <c r="C165" s="1221">
        <f>'Inversión-Financiación'!C36</f>
        <v>0</v>
      </c>
      <c r="D165" s="1222"/>
      <c r="E165" s="1223"/>
      <c r="F165" s="117"/>
      <c r="G165" s="677"/>
      <c r="H165" s="12">
        <f>'Inversión-Financiación'!F36</f>
        <v>0</v>
      </c>
      <c r="I165" s="207"/>
      <c r="J165" s="181"/>
    </row>
    <row r="166" spans="2:11" hidden="1" outlineLevel="1">
      <c r="B166" s="12">
        <f>'Inversión-Financiación'!B37</f>
        <v>0</v>
      </c>
      <c r="C166" s="1221">
        <f>'Inversión-Financiación'!C37</f>
        <v>0</v>
      </c>
      <c r="D166" s="1222"/>
      <c r="E166" s="1223"/>
      <c r="F166" s="117"/>
      <c r="G166" s="677"/>
      <c r="H166" s="12">
        <f>'Inversión-Financiación'!F37</f>
        <v>0</v>
      </c>
      <c r="I166" s="207"/>
      <c r="J166" s="181"/>
    </row>
    <row r="167" spans="2:11" collapsed="1">
      <c r="B167" s="287"/>
      <c r="C167" s="297" t="str">
        <f>'Inversión-Financiación'!C38</f>
        <v>TOTAL</v>
      </c>
      <c r="D167" s="287"/>
      <c r="E167" s="287"/>
      <c r="F167" s="117"/>
      <c r="G167" s="677"/>
      <c r="H167" s="299">
        <f>'Inversión-Financiación'!F38</f>
        <v>0</v>
      </c>
      <c r="I167" s="207"/>
      <c r="J167" s="181"/>
    </row>
    <row r="168" spans="2:11" ht="79.5" customHeight="1">
      <c r="B168" s="1357" t="str">
        <f>"Esta inversión inicial se financia "&amp;+'Inversión-Financiación'!C54</f>
        <v xml:space="preserve">Esta inversión inicial se financia </v>
      </c>
      <c r="C168" s="1341"/>
      <c r="D168" s="1341"/>
      <c r="E168" s="1341"/>
      <c r="F168" s="1341"/>
      <c r="G168" s="1341"/>
      <c r="H168" s="1341"/>
      <c r="I168" s="1341"/>
      <c r="J168" s="1342"/>
    </row>
    <row r="169" spans="2:11">
      <c r="B169" s="188" t="s">
        <v>321</v>
      </c>
      <c r="C169" s="181"/>
      <c r="D169" s="181"/>
      <c r="E169" s="181"/>
      <c r="F169" s="181"/>
      <c r="G169" s="181"/>
      <c r="H169" s="181"/>
      <c r="I169" s="181"/>
      <c r="J169" s="181"/>
    </row>
    <row r="170" spans="2:11" ht="28.5" customHeight="1">
      <c r="B170" s="1337">
        <f>+Cuestionario!E60</f>
        <v>0</v>
      </c>
      <c r="C170" s="1338"/>
      <c r="D170" s="1338"/>
      <c r="E170" s="1338"/>
      <c r="F170" s="1338"/>
      <c r="G170" s="1338"/>
      <c r="H170" s="1338"/>
      <c r="I170" s="1338"/>
      <c r="J170" s="1339"/>
    </row>
    <row r="171" spans="2:11">
      <c r="B171" s="196" t="s">
        <v>289</v>
      </c>
      <c r="C171" s="181"/>
      <c r="D171" s="181"/>
      <c r="E171" s="181"/>
      <c r="F171" s="181"/>
      <c r="G171" s="181"/>
      <c r="H171" s="181"/>
      <c r="I171" s="181"/>
      <c r="J171" s="181"/>
    </row>
    <row r="172" spans="2:11" ht="26.25" customHeight="1">
      <c r="B172" s="188" t="s">
        <v>301</v>
      </c>
      <c r="C172" s="181"/>
      <c r="D172" s="181"/>
      <c r="E172" s="181"/>
      <c r="F172" s="181"/>
      <c r="G172" s="181"/>
      <c r="H172" s="181"/>
      <c r="I172" s="181"/>
      <c r="J172" s="181"/>
      <c r="K172" s="168" t="s">
        <v>46</v>
      </c>
    </row>
    <row r="173" spans="2:11" ht="46.5">
      <c r="B173" s="1346" t="s">
        <v>263</v>
      </c>
      <c r="C173" s="1347"/>
      <c r="D173" s="1348"/>
      <c r="E173" s="199" t="s">
        <v>899</v>
      </c>
      <c r="F173" s="199" t="str">
        <f>+Cuestionario!G31</f>
        <v>Total prev.2021</v>
      </c>
      <c r="G173" s="199" t="str">
        <f>+Cuestionario!H31</f>
        <v>Total prev.2022</v>
      </c>
      <c r="H173" s="199" t="str">
        <f>+Cuestionario!I31</f>
        <v>Total prev. 2023</v>
      </c>
      <c r="I173" s="181"/>
      <c r="J173" s="181"/>
    </row>
    <row r="174" spans="2:11">
      <c r="B174" s="1349" t="s">
        <v>268</v>
      </c>
      <c r="C174" s="1350"/>
      <c r="D174" s="1351"/>
      <c r="E174" s="206">
        <f>+Cuestionario!F32</f>
        <v>0</v>
      </c>
      <c r="F174" s="206">
        <f>+Cuestionario!G32</f>
        <v>0</v>
      </c>
      <c r="G174" s="206">
        <f>+Cuestionario!H32</f>
        <v>0</v>
      </c>
      <c r="H174" s="206">
        <f>+Cuestionario!I32</f>
        <v>0</v>
      </c>
      <c r="I174" s="181"/>
      <c r="J174" s="181"/>
    </row>
    <row r="175" spans="2:11" ht="15.75" customHeight="1">
      <c r="B175" s="1349" t="s">
        <v>269</v>
      </c>
      <c r="C175" s="1350"/>
      <c r="D175" s="1351"/>
      <c r="E175" s="206">
        <f>+Cuestionario!F33</f>
        <v>0</v>
      </c>
      <c r="F175" s="206">
        <f>+Cuestionario!G33</f>
        <v>0</v>
      </c>
      <c r="G175" s="206">
        <f>+Cuestionario!H33</f>
        <v>0</v>
      </c>
      <c r="H175" s="206">
        <f>+Cuestionario!I33</f>
        <v>0</v>
      </c>
      <c r="I175" s="181"/>
      <c r="J175" s="181"/>
    </row>
    <row r="176" spans="2:11" ht="15.75" hidden="1" customHeight="1">
      <c r="B176" s="1349" t="s">
        <v>270</v>
      </c>
      <c r="C176" s="1350"/>
      <c r="D176" s="1351"/>
      <c r="E176" s="206">
        <f>+Cuestionario!C34</f>
        <v>0</v>
      </c>
      <c r="F176" s="206">
        <f>+Cuestionario!D34</f>
        <v>0</v>
      </c>
      <c r="G176" s="206">
        <f>+Cuestionario!E34</f>
        <v>0</v>
      </c>
      <c r="H176" s="208">
        <f>+Cuestionario!F34</f>
        <v>0</v>
      </c>
      <c r="I176" s="181"/>
      <c r="J176" s="181"/>
    </row>
    <row r="177" spans="2:11" ht="18" customHeight="1">
      <c r="B177" s="1337"/>
      <c r="C177" s="1338"/>
      <c r="D177" s="1338"/>
      <c r="E177" s="1338"/>
      <c r="F177" s="1338"/>
      <c r="G177" s="1338"/>
      <c r="H177" s="1338"/>
      <c r="I177" s="1338"/>
      <c r="J177" s="1339"/>
    </row>
    <row r="178" spans="2:11" ht="31.5" customHeight="1">
      <c r="B178" s="188" t="s">
        <v>322</v>
      </c>
      <c r="C178" s="181"/>
      <c r="D178" s="181"/>
      <c r="E178" s="181"/>
      <c r="F178" s="181"/>
      <c r="G178" s="181"/>
      <c r="H178" s="181"/>
      <c r="I178" s="181"/>
      <c r="J178" s="181"/>
    </row>
    <row r="179" spans="2:11">
      <c r="B179" s="209"/>
      <c r="D179" s="177"/>
      <c r="E179" s="546" t="s">
        <v>121</v>
      </c>
      <c r="F179" s="546"/>
      <c r="G179" s="546" t="s">
        <v>122</v>
      </c>
      <c r="H179" s="546" t="s">
        <v>123</v>
      </c>
      <c r="I179" s="181"/>
      <c r="J179" s="181"/>
    </row>
    <row r="180" spans="2:11" ht="36">
      <c r="B180" s="210" t="s">
        <v>323</v>
      </c>
      <c r="D180" s="177"/>
      <c r="E180" s="366" t="s">
        <v>326</v>
      </c>
      <c r="F180" s="366" t="s">
        <v>229</v>
      </c>
      <c r="G180" s="366" t="s">
        <v>326</v>
      </c>
      <c r="H180" s="366" t="s">
        <v>326</v>
      </c>
      <c r="I180" s="181"/>
      <c r="J180" s="181"/>
    </row>
    <row r="181" spans="2:11">
      <c r="B181" s="1352">
        <f>+'Personal retribución'!A39</f>
        <v>1</v>
      </c>
      <c r="C181" s="1353"/>
      <c r="D181" s="1353"/>
      <c r="E181" s="370">
        <f>+'Personal retribución'!H39</f>
        <v>0</v>
      </c>
      <c r="F181" s="370">
        <f>+'Personal retribución'!H73</f>
        <v>0</v>
      </c>
      <c r="G181" s="370">
        <f>SUM('Personal retribución'!V39:AG39)</f>
        <v>0</v>
      </c>
      <c r="H181" s="370">
        <f>SUM('Personal retribución'!AH39:AS39)</f>
        <v>0</v>
      </c>
      <c r="I181" s="181"/>
      <c r="J181" s="181"/>
    </row>
    <row r="182" spans="2:11">
      <c r="B182" s="1352">
        <f>+'Personal retribución'!A40</f>
        <v>2</v>
      </c>
      <c r="C182" s="1353"/>
      <c r="D182" s="1353"/>
      <c r="E182" s="370">
        <f>+'Personal retribución'!H40</f>
        <v>0</v>
      </c>
      <c r="F182" s="370">
        <f>+'Personal retribución'!H74</f>
        <v>0</v>
      </c>
      <c r="G182" s="370">
        <f>SUM('Personal retribución'!V40:AG40)</f>
        <v>0</v>
      </c>
      <c r="H182" s="370">
        <f>SUM('Personal retribución'!AH40:AS40)</f>
        <v>0</v>
      </c>
      <c r="I182" s="181"/>
      <c r="J182" s="181"/>
    </row>
    <row r="183" spans="2:11">
      <c r="B183" s="1352">
        <f>+'Personal retribución'!A41</f>
        <v>3</v>
      </c>
      <c r="C183" s="1353"/>
      <c r="D183" s="1353"/>
      <c r="E183" s="370">
        <f>+'Personal retribución'!H41</f>
        <v>0</v>
      </c>
      <c r="F183" s="370">
        <f>+'Personal retribución'!H75</f>
        <v>0</v>
      </c>
      <c r="G183" s="370">
        <f>SUM('Personal retribución'!V41:AG41)</f>
        <v>0</v>
      </c>
      <c r="H183" s="370">
        <f>SUM('Personal retribución'!AH41:AS41)</f>
        <v>0</v>
      </c>
      <c r="I183" s="181"/>
      <c r="J183" s="181"/>
    </row>
    <row r="184" spans="2:11">
      <c r="B184" s="1352">
        <f>+'Personal retribución'!A42</f>
        <v>4</v>
      </c>
      <c r="C184" s="1353"/>
      <c r="D184" s="1353"/>
      <c r="E184" s="370">
        <f>+'Personal retribución'!H42</f>
        <v>0</v>
      </c>
      <c r="F184" s="370">
        <f>+'Personal retribución'!H76</f>
        <v>0</v>
      </c>
      <c r="G184" s="370">
        <f>SUM('Personal retribución'!V42:AG42)</f>
        <v>0</v>
      </c>
      <c r="H184" s="370">
        <f>SUM('Personal retribución'!AH42:AS42)</f>
        <v>0</v>
      </c>
      <c r="I184" s="181"/>
      <c r="J184" s="181"/>
    </row>
    <row r="185" spans="2:11">
      <c r="B185" s="1352">
        <f>+'Personal retribución'!A43</f>
        <v>5</v>
      </c>
      <c r="C185" s="1353"/>
      <c r="D185" s="1353"/>
      <c r="E185" s="370">
        <f>+'Personal retribución'!H43</f>
        <v>0</v>
      </c>
      <c r="F185" s="370">
        <f>+'Personal retribución'!H77</f>
        <v>0</v>
      </c>
      <c r="G185" s="370">
        <f>SUM('Personal retribución'!V43:AG43)</f>
        <v>0</v>
      </c>
      <c r="H185" s="370">
        <f>SUM('Personal retribución'!AH43:AS43)</f>
        <v>0</v>
      </c>
      <c r="I185" s="181"/>
      <c r="J185" s="181"/>
    </row>
    <row r="186" spans="2:11">
      <c r="B186" s="1352">
        <f>+'Personal retribución'!A44</f>
        <v>6</v>
      </c>
      <c r="C186" s="1353"/>
      <c r="D186" s="1353"/>
      <c r="E186" s="370">
        <f>+'Personal retribución'!H44</f>
        <v>0</v>
      </c>
      <c r="F186" s="370">
        <f>+'Personal retribución'!H78</f>
        <v>0</v>
      </c>
      <c r="G186" s="370">
        <f>SUM('Personal retribución'!V44:AG44)</f>
        <v>0</v>
      </c>
      <c r="H186" s="370">
        <f>SUM('Personal retribución'!AH44:AS44)</f>
        <v>0</v>
      </c>
      <c r="I186" s="181"/>
      <c r="J186" s="181"/>
    </row>
    <row r="187" spans="2:11">
      <c r="B187" s="1352">
        <f>+'Personal retribución'!A45</f>
        <v>7</v>
      </c>
      <c r="C187" s="1353"/>
      <c r="D187" s="1353"/>
      <c r="E187" s="370">
        <f>+'Personal retribución'!H45</f>
        <v>0</v>
      </c>
      <c r="F187" s="370">
        <f>+'Personal retribución'!H79</f>
        <v>0</v>
      </c>
      <c r="G187" s="370">
        <f>SUM('Personal retribución'!V45:AG45)</f>
        <v>0</v>
      </c>
      <c r="H187" s="370">
        <f>SUM('Personal retribución'!AH45:AS45)</f>
        <v>0</v>
      </c>
      <c r="I187" s="181"/>
      <c r="J187" s="181"/>
    </row>
    <row r="188" spans="2:11">
      <c r="B188" s="1352">
        <f>+'Personal retribución'!A46</f>
        <v>8</v>
      </c>
      <c r="C188" s="1353"/>
      <c r="D188" s="1353"/>
      <c r="E188" s="370">
        <f>+'Personal retribución'!H46</f>
        <v>0</v>
      </c>
      <c r="F188" s="370">
        <f>+'Personal retribución'!H80</f>
        <v>0</v>
      </c>
      <c r="G188" s="370">
        <f>SUM('Personal retribución'!V46:AG46)</f>
        <v>0</v>
      </c>
      <c r="H188" s="370">
        <f>SUM('Personal retribución'!AH46:AS46)</f>
        <v>0</v>
      </c>
      <c r="I188" s="181"/>
      <c r="J188" s="181"/>
      <c r="K188" s="168" t="s">
        <v>46</v>
      </c>
    </row>
    <row r="189" spans="2:11">
      <c r="B189" s="1352">
        <f>+'Personal retribución'!A47</f>
        <v>9</v>
      </c>
      <c r="C189" s="1353"/>
      <c r="D189" s="1353"/>
      <c r="E189" s="370">
        <f>+'Personal retribución'!H47</f>
        <v>0</v>
      </c>
      <c r="F189" s="370">
        <f>+'Personal retribución'!H81</f>
        <v>0</v>
      </c>
      <c r="G189" s="370">
        <f>SUM('Personal retribución'!V47:AG47)</f>
        <v>0</v>
      </c>
      <c r="H189" s="370">
        <f>SUM('Personal retribución'!AH47:AS47)</f>
        <v>0</v>
      </c>
      <c r="I189" s="181"/>
      <c r="J189" s="181"/>
    </row>
    <row r="190" spans="2:11">
      <c r="B190" s="1352">
        <f>+'Personal retribución'!A48</f>
        <v>10</v>
      </c>
      <c r="C190" s="1353"/>
      <c r="D190" s="1353"/>
      <c r="E190" s="370">
        <f>+'Personal retribución'!H48</f>
        <v>0</v>
      </c>
      <c r="F190" s="370">
        <f>+'Personal retribución'!H82</f>
        <v>0</v>
      </c>
      <c r="G190" s="370">
        <f>SUM('Personal retribución'!V48:AG48)</f>
        <v>0</v>
      </c>
      <c r="H190" s="370">
        <f>SUM('Personal retribución'!AH48:AS48)</f>
        <v>0</v>
      </c>
      <c r="I190" s="181"/>
      <c r="J190" s="181"/>
    </row>
    <row r="191" spans="2:11">
      <c r="B191" s="1352" t="s">
        <v>325</v>
      </c>
      <c r="C191" s="1353"/>
      <c r="D191" s="1353"/>
      <c r="E191" s="370">
        <f>SUM('Personal retribución'!I49:I68)</f>
        <v>0</v>
      </c>
      <c r="F191" s="370">
        <f>SUM('Personal retribución'!I83:I102)</f>
        <v>0</v>
      </c>
      <c r="G191" s="370">
        <f>SUM('Personal retribución'!V49:AG68)</f>
        <v>0</v>
      </c>
      <c r="H191" s="370">
        <f>SUM('Personal retribución'!AH49:AS68)</f>
        <v>0</v>
      </c>
      <c r="I191" s="181"/>
      <c r="J191" s="181"/>
    </row>
    <row r="192" spans="2:11">
      <c r="B192" s="188"/>
      <c r="D192" s="371" t="s">
        <v>5</v>
      </c>
      <c r="E192" s="269">
        <f>SUM(E181:E191)</f>
        <v>0</v>
      </c>
      <c r="F192" s="269">
        <f>SUM(F181:F191)</f>
        <v>0</v>
      </c>
      <c r="G192" s="269">
        <f>SUM(G181:G191)</f>
        <v>0</v>
      </c>
      <c r="H192" s="269">
        <f>SUM(H181:H191)</f>
        <v>0</v>
      </c>
      <c r="I192" s="181"/>
      <c r="J192" s="181"/>
    </row>
    <row r="193" spans="2:11" ht="15.75" customHeight="1">
      <c r="B193" s="188"/>
      <c r="C193" s="181"/>
      <c r="D193" s="181"/>
      <c r="E193" s="181"/>
      <c r="F193" s="181"/>
      <c r="G193" s="181"/>
      <c r="H193" s="181"/>
      <c r="I193" s="181"/>
      <c r="J193" s="181"/>
    </row>
    <row r="194" spans="2:11" ht="21" customHeight="1">
      <c r="B194" s="196" t="s">
        <v>290</v>
      </c>
      <c r="C194" s="181"/>
      <c r="D194" s="181"/>
      <c r="E194" s="181"/>
      <c r="F194" s="181"/>
      <c r="G194" s="181"/>
      <c r="H194" s="181"/>
      <c r="I194" s="181"/>
      <c r="J194" s="181"/>
    </row>
    <row r="195" spans="2:11" ht="26.25" customHeight="1">
      <c r="B195" s="188" t="s">
        <v>302</v>
      </c>
      <c r="C195" s="181"/>
      <c r="D195" s="181"/>
      <c r="E195" s="181"/>
      <c r="F195" s="181"/>
      <c r="G195" s="181"/>
      <c r="H195" s="181"/>
      <c r="I195" s="181"/>
      <c r="J195" s="181"/>
    </row>
    <row r="196" spans="2:11">
      <c r="B196" s="1340" t="str">
        <f>+Cuestionario!I5</f>
        <v>S.L.</v>
      </c>
      <c r="C196" s="1341"/>
      <c r="D196" s="1341"/>
      <c r="E196" s="1341"/>
      <c r="F196" s="1341"/>
      <c r="G196" s="1341"/>
      <c r="H196" s="1341"/>
      <c r="I196" s="1341"/>
      <c r="J196" s="1342"/>
      <c r="K196" s="168" t="s">
        <v>46</v>
      </c>
    </row>
    <row r="197" spans="2:11" ht="29.25" customHeight="1">
      <c r="B197" s="232"/>
      <c r="C197" s="211"/>
      <c r="D197" s="211"/>
      <c r="E197" s="211"/>
      <c r="F197" s="211"/>
      <c r="G197" s="211"/>
      <c r="H197" s="211"/>
      <c r="I197" s="211"/>
      <c r="J197" s="211"/>
    </row>
    <row r="198" spans="2:11" ht="31.5" customHeight="1">
      <c r="B198" s="188" t="s">
        <v>303</v>
      </c>
      <c r="C198" s="181"/>
      <c r="D198" s="181"/>
      <c r="E198" s="181"/>
      <c r="F198" s="181"/>
      <c r="G198" s="181"/>
      <c r="H198" s="181"/>
      <c r="I198" s="181"/>
      <c r="J198" s="181"/>
    </row>
    <row r="199" spans="2:11" ht="120.75" customHeight="1">
      <c r="B199" s="1343" t="str">
        <f>IF(AND(Cuestionario!I5="Empresario Individual",Cuestionario!C67="Estimación objetiva / Módulos",Cuestionario!C70="SI"),DATOS!Q4,IF(AND(Cuestionario!I5="Empresario individual",Cuestionario!C67="Estimación objetiva / Módulos",Cuestionario!C70=""),DATOS!Q3,IF(AND(Cuestionario!I5="Empresario individual",Cuestionario!C67="Estimación directa"),DATOS!Q2,DATOS!Q6)))&amp;CHAR(10)&amp;IF(Cuestionario!D62="SI",DATOS!Q8,"")</f>
        <v xml:space="preserve">Declaraciones de IVA Trimestrales y anual (Modelo 303 y 390)
Declaraciones de IRPF Trimestrales facturas de profesionales recibidas (Modelo 111 y 190)
Impuesto sobre sociedades y pagos por anticipado si procede. (Modelo 200 y 202)
Declaración informativa 347
Declaraciones operaciones intracomunitaries 349
Obligaciones mercantiles. Depósito de Cuentas Anuales, legalización de libros y actas
</v>
      </c>
      <c r="C199" s="1344"/>
      <c r="D199" s="1344"/>
      <c r="E199" s="1344"/>
      <c r="F199" s="1344"/>
      <c r="G199" s="1344"/>
      <c r="H199" s="1344"/>
      <c r="I199" s="1344"/>
      <c r="J199" s="1345"/>
    </row>
    <row r="200" spans="2:11" ht="18" customHeight="1">
      <c r="B200" s="211"/>
      <c r="C200" s="211"/>
      <c r="D200" s="211"/>
      <c r="E200" s="211"/>
      <c r="F200" s="211"/>
      <c r="G200" s="211"/>
      <c r="H200" s="211"/>
      <c r="I200" s="211"/>
      <c r="J200" s="211"/>
    </row>
    <row r="201" spans="2:11" ht="28.5" customHeight="1">
      <c r="B201" s="196" t="s">
        <v>291</v>
      </c>
      <c r="C201" s="181"/>
      <c r="D201" s="181"/>
      <c r="E201" s="181"/>
      <c r="F201" s="181"/>
      <c r="G201" s="181"/>
      <c r="H201" s="181"/>
      <c r="I201" s="181"/>
      <c r="J201" s="181"/>
    </row>
    <row r="202" spans="2:11" ht="28.5" customHeight="1" thickBot="1">
      <c r="B202" s="188" t="s">
        <v>305</v>
      </c>
      <c r="C202" s="181"/>
      <c r="D202" s="181"/>
      <c r="E202" s="181"/>
      <c r="F202" s="181"/>
      <c r="G202" s="181"/>
      <c r="H202" s="181"/>
      <c r="I202" s="181"/>
      <c r="J202" s="181"/>
    </row>
    <row r="203" spans="2:11" ht="32.25" customHeight="1" thickBot="1">
      <c r="B203" s="242"/>
      <c r="C203" s="1335" t="s">
        <v>96</v>
      </c>
      <c r="D203" s="1336"/>
      <c r="E203" s="1335" t="s">
        <v>97</v>
      </c>
      <c r="F203" s="1336"/>
      <c r="G203" s="1335" t="s">
        <v>98</v>
      </c>
      <c r="H203" s="1336"/>
      <c r="I203" s="1335" t="s">
        <v>99</v>
      </c>
      <c r="J203" s="1336"/>
    </row>
    <row r="204" spans="2:11">
      <c r="B204" s="243" t="str">
        <f>+Balance!A2</f>
        <v>ACTIVO</v>
      </c>
      <c r="C204" s="244"/>
      <c r="D204" s="245"/>
      <c r="E204" s="244"/>
      <c r="F204" s="245"/>
      <c r="G204" s="244"/>
      <c r="H204" s="245"/>
      <c r="I204" s="244"/>
      <c r="J204" s="245"/>
    </row>
    <row r="205" spans="2:11">
      <c r="B205" s="363" t="str">
        <f>+Balance!A3</f>
        <v>ACTIVO NO CORRIENTE</v>
      </c>
      <c r="C205" s="372">
        <f ca="1">+Balance!B3</f>
        <v>0</v>
      </c>
      <c r="D205" s="373" t="str">
        <f ca="1">+Balance!C3</f>
        <v/>
      </c>
      <c r="E205" s="372">
        <f ca="1">+Balance!D3</f>
        <v>0</v>
      </c>
      <c r="F205" s="373" t="str">
        <f ca="1">+Balance!E3</f>
        <v/>
      </c>
      <c r="G205" s="372">
        <f ca="1">+Balance!F3</f>
        <v>0</v>
      </c>
      <c r="H205" s="373" t="str">
        <f ca="1">+Balance!G3</f>
        <v/>
      </c>
      <c r="I205" s="372">
        <f ca="1">+Balance!H3</f>
        <v>0</v>
      </c>
      <c r="J205" s="373" t="str">
        <f ca="1">+Balance!I3</f>
        <v/>
      </c>
    </row>
    <row r="206" spans="2:11">
      <c r="B206" s="242" t="str">
        <f>+Balance!A4</f>
        <v>Inmovilizado intangible</v>
      </c>
      <c r="C206" s="374">
        <f ca="1">+Balance!B4</f>
        <v>0</v>
      </c>
      <c r="D206" s="375"/>
      <c r="E206" s="374">
        <f ca="1">+Balance!D4</f>
        <v>0</v>
      </c>
      <c r="F206" s="375"/>
      <c r="G206" s="374">
        <f ca="1">+Balance!F4</f>
        <v>0</v>
      </c>
      <c r="H206" s="375"/>
      <c r="I206" s="374">
        <f ca="1">+Balance!H4</f>
        <v>0</v>
      </c>
      <c r="J206" s="375"/>
    </row>
    <row r="207" spans="2:11">
      <c r="B207" s="242" t="str">
        <f>+Balance!A10</f>
        <v>Inmovilizado tangible</v>
      </c>
      <c r="C207" s="374">
        <f ca="1">+Balance!B10</f>
        <v>0</v>
      </c>
      <c r="D207" s="375"/>
      <c r="E207" s="374">
        <f ca="1">+Balance!D10</f>
        <v>0</v>
      </c>
      <c r="F207" s="375"/>
      <c r="G207" s="374">
        <f ca="1">+Balance!F10</f>
        <v>0</v>
      </c>
      <c r="H207" s="375"/>
      <c r="I207" s="374">
        <f ca="1">+Balance!H10</f>
        <v>0</v>
      </c>
      <c r="J207" s="375"/>
    </row>
    <row r="208" spans="2:11">
      <c r="B208" s="242" t="str">
        <f>+Balance!A20</f>
        <v>Inversiones financieras</v>
      </c>
      <c r="C208" s="374">
        <f ca="1">+Balance!B20</f>
        <v>0</v>
      </c>
      <c r="D208" s="375"/>
      <c r="E208" s="374">
        <f ca="1">+Balance!D20</f>
        <v>0</v>
      </c>
      <c r="F208" s="375"/>
      <c r="G208" s="374">
        <f ca="1">+Balance!F20</f>
        <v>0</v>
      </c>
      <c r="H208" s="375"/>
      <c r="I208" s="374">
        <f ca="1">+Balance!H20</f>
        <v>0</v>
      </c>
      <c r="J208" s="375"/>
    </row>
    <row r="209" spans="2:10">
      <c r="B209" s="363" t="str">
        <f>+Balance!A22</f>
        <v>ACTIVO CORRIENTE</v>
      </c>
      <c r="C209" s="372">
        <f ca="1">+Balance!B22</f>
        <v>0</v>
      </c>
      <c r="D209" s="373" t="str">
        <f ca="1">+Balance!C22</f>
        <v/>
      </c>
      <c r="E209" s="372">
        <f ca="1">+Balance!D22</f>
        <v>0</v>
      </c>
      <c r="F209" s="373" t="str">
        <f ca="1">+Balance!E22</f>
        <v/>
      </c>
      <c r="G209" s="372">
        <f ca="1">+Balance!F22</f>
        <v>0</v>
      </c>
      <c r="H209" s="373" t="str">
        <f ca="1">+Balance!G22</f>
        <v/>
      </c>
      <c r="I209" s="372">
        <f ca="1">+Balance!H22</f>
        <v>0</v>
      </c>
      <c r="J209" s="373" t="str">
        <f ca="1">+Balance!I22</f>
        <v/>
      </c>
    </row>
    <row r="210" spans="2:10">
      <c r="B210" s="242" t="str">
        <f>+Balance!A23</f>
        <v>Existencias</v>
      </c>
      <c r="C210" s="374">
        <f ca="1">+Balance!B23</f>
        <v>0</v>
      </c>
      <c r="D210" s="376"/>
      <c r="E210" s="374">
        <f ca="1">+Balance!D23</f>
        <v>0</v>
      </c>
      <c r="F210" s="376"/>
      <c r="G210" s="374">
        <f ca="1">+Balance!F23</f>
        <v>0</v>
      </c>
      <c r="H210" s="376"/>
      <c r="I210" s="374">
        <f ca="1">+Balance!H23</f>
        <v>0</v>
      </c>
      <c r="J210" s="376"/>
    </row>
    <row r="211" spans="2:10">
      <c r="B211" s="242" t="str">
        <f>+Balance!A24</f>
        <v>Deudores</v>
      </c>
      <c r="C211" s="374">
        <f ca="1">+Balance!B24</f>
        <v>0</v>
      </c>
      <c r="D211" s="376"/>
      <c r="E211" s="374">
        <f ca="1">+Balance!D24</f>
        <v>0</v>
      </c>
      <c r="F211" s="376"/>
      <c r="G211" s="374">
        <f ca="1">+Balance!F24</f>
        <v>0</v>
      </c>
      <c r="H211" s="376"/>
      <c r="I211" s="374">
        <f ca="1">+Balance!H24</f>
        <v>0</v>
      </c>
      <c r="J211" s="376"/>
    </row>
    <row r="212" spans="2:10">
      <c r="B212" s="242" t="str">
        <f>+Balance!A29</f>
        <v>Tesorería</v>
      </c>
      <c r="C212" s="374">
        <f>+Balance!B29</f>
        <v>0</v>
      </c>
      <c r="D212" s="375"/>
      <c r="E212" s="374">
        <f ca="1">+Balance!D29</f>
        <v>0</v>
      </c>
      <c r="F212" s="375"/>
      <c r="G212" s="374">
        <f ca="1">+Balance!F29</f>
        <v>0</v>
      </c>
      <c r="H212" s="375"/>
      <c r="I212" s="374">
        <f ca="1">+Balance!H29</f>
        <v>0</v>
      </c>
      <c r="J212" s="375"/>
    </row>
    <row r="213" spans="2:10">
      <c r="B213" s="364" t="str">
        <f>+Balance!A30</f>
        <v>TOTAL ACTIVO</v>
      </c>
      <c r="C213" s="377">
        <f ca="1">+Balance!B30</f>
        <v>0</v>
      </c>
      <c r="D213" s="373" t="str">
        <f ca="1">+Balance!C30</f>
        <v/>
      </c>
      <c r="E213" s="377">
        <f ca="1">+Balance!D30</f>
        <v>0</v>
      </c>
      <c r="F213" s="373" t="str">
        <f ca="1">+Balance!E30</f>
        <v/>
      </c>
      <c r="G213" s="377">
        <f ca="1">+Balance!F30</f>
        <v>0</v>
      </c>
      <c r="H213" s="373" t="str">
        <f ca="1">+Balance!G30</f>
        <v/>
      </c>
      <c r="I213" s="377">
        <f ca="1">+Balance!H30</f>
        <v>0</v>
      </c>
      <c r="J213" s="373" t="str">
        <f ca="1">+Balance!I30</f>
        <v/>
      </c>
    </row>
    <row r="214" spans="2:10">
      <c r="B214" s="242"/>
      <c r="C214" s="378"/>
      <c r="D214" s="375"/>
      <c r="E214" s="378"/>
      <c r="F214" s="375"/>
      <c r="G214" s="378"/>
      <c r="H214" s="375"/>
      <c r="I214" s="378"/>
      <c r="J214" s="375"/>
    </row>
    <row r="215" spans="2:10" ht="25.5">
      <c r="B215" s="243" t="str">
        <f>+Balance!A32</f>
        <v>PATRIMONIO NETO Y PASIVO</v>
      </c>
      <c r="C215" s="378"/>
      <c r="D215" s="375"/>
      <c r="E215" s="378"/>
      <c r="F215" s="375"/>
      <c r="G215" s="378"/>
      <c r="H215" s="375"/>
      <c r="I215" s="378"/>
      <c r="J215" s="375"/>
    </row>
    <row r="216" spans="2:10">
      <c r="B216" s="365" t="str">
        <f>+Balance!A33</f>
        <v>PATRIMONIO NETO</v>
      </c>
      <c r="C216" s="372">
        <f ca="1">+Balance!B33</f>
        <v>0</v>
      </c>
      <c r="D216" s="373" t="str">
        <f ca="1">+Balance!C33</f>
        <v/>
      </c>
      <c r="E216" s="372">
        <f ca="1">+Balance!D33</f>
        <v>0</v>
      </c>
      <c r="F216" s="373" t="str">
        <f ca="1">+Balance!E33</f>
        <v/>
      </c>
      <c r="G216" s="372">
        <f ca="1">+Balance!F33</f>
        <v>0</v>
      </c>
      <c r="H216" s="373" t="str">
        <f ca="1">+Balance!G33</f>
        <v/>
      </c>
      <c r="I216" s="372">
        <f ca="1">+Balance!H33</f>
        <v>0</v>
      </c>
      <c r="J216" s="373" t="str">
        <f ca="1">+Balance!I33</f>
        <v/>
      </c>
    </row>
    <row r="217" spans="2:10">
      <c r="B217" s="242" t="str">
        <f>+Balance!A34</f>
        <v>Capital</v>
      </c>
      <c r="C217" s="374">
        <f ca="1">+Balance!B34</f>
        <v>0</v>
      </c>
      <c r="D217" s="375"/>
      <c r="E217" s="374">
        <f ca="1">+Balance!D34</f>
        <v>0</v>
      </c>
      <c r="F217" s="375"/>
      <c r="G217" s="374">
        <f ca="1">+Balance!F34</f>
        <v>0</v>
      </c>
      <c r="H217" s="375"/>
      <c r="I217" s="374">
        <f ca="1">+Balance!H34</f>
        <v>0</v>
      </c>
      <c r="J217" s="375"/>
    </row>
    <row r="218" spans="2:10">
      <c r="B218" s="242" t="str">
        <f>+Balance!A35</f>
        <v>Capitalización paro</v>
      </c>
      <c r="C218" s="374">
        <f ca="1">+Balance!B35</f>
        <v>0</v>
      </c>
      <c r="D218" s="375"/>
      <c r="E218" s="374">
        <f ca="1">+Balance!D35</f>
        <v>0</v>
      </c>
      <c r="F218" s="375"/>
      <c r="G218" s="374">
        <f ca="1">+Balance!F35</f>
        <v>0</v>
      </c>
      <c r="H218" s="375"/>
      <c r="I218" s="374">
        <f ca="1">+Balance!H35</f>
        <v>0</v>
      </c>
      <c r="J218" s="375"/>
    </row>
    <row r="219" spans="2:10">
      <c r="B219" s="242" t="str">
        <f>+Balance!A36</f>
        <v>Aportación socios</v>
      </c>
      <c r="C219" s="374">
        <f ca="1">+Balance!B36</f>
        <v>0</v>
      </c>
      <c r="D219" s="375"/>
      <c r="E219" s="374">
        <f ca="1">+Balance!D36</f>
        <v>0</v>
      </c>
      <c r="F219" s="375"/>
      <c r="G219" s="374">
        <f ca="1">+Balance!F36</f>
        <v>0</v>
      </c>
      <c r="H219" s="375"/>
      <c r="I219" s="374">
        <f ca="1">+Balance!H36</f>
        <v>0</v>
      </c>
      <c r="J219" s="375"/>
    </row>
    <row r="220" spans="2:10">
      <c r="B220" s="242" t="str">
        <f>+Balance!A37</f>
        <v>Reservas</v>
      </c>
      <c r="C220" s="374">
        <f ca="1">+Balance!B37</f>
        <v>0</v>
      </c>
      <c r="D220" s="375"/>
      <c r="E220" s="374">
        <f ca="1">+Balance!D37</f>
        <v>0</v>
      </c>
      <c r="F220" s="375"/>
      <c r="G220" s="374">
        <f ca="1">+Balance!F37</f>
        <v>0</v>
      </c>
      <c r="H220" s="375"/>
      <c r="I220" s="374">
        <f ca="1">+Balance!H37</f>
        <v>0</v>
      </c>
      <c r="J220" s="375"/>
    </row>
    <row r="221" spans="2:10">
      <c r="B221" s="242" t="str">
        <f>+Balance!A38</f>
        <v>Resultados</v>
      </c>
      <c r="C221" s="374">
        <f>+Balance!B38</f>
        <v>0</v>
      </c>
      <c r="D221" s="375"/>
      <c r="E221" s="374">
        <f ca="1">+Balance!D38</f>
        <v>0</v>
      </c>
      <c r="F221" s="375"/>
      <c r="G221" s="374">
        <f ca="1">+Balance!F38</f>
        <v>0</v>
      </c>
      <c r="H221" s="375"/>
      <c r="I221" s="374">
        <f ca="1">+Balance!H38</f>
        <v>0</v>
      </c>
      <c r="J221" s="375"/>
    </row>
    <row r="222" spans="2:10">
      <c r="B222" s="242" t="str">
        <f>+Balance!A39</f>
        <v>Subvenciones</v>
      </c>
      <c r="C222" s="374">
        <f ca="1">+Balance!B39</f>
        <v>0</v>
      </c>
      <c r="D222" s="375"/>
      <c r="E222" s="374">
        <f ca="1">+Balance!D39</f>
        <v>0</v>
      </c>
      <c r="F222" s="375"/>
      <c r="G222" s="374">
        <f ca="1">+Balance!F39</f>
        <v>0</v>
      </c>
      <c r="H222" s="375"/>
      <c r="I222" s="374">
        <f ca="1">+Balance!H39</f>
        <v>0</v>
      </c>
      <c r="J222" s="375"/>
    </row>
    <row r="223" spans="2:10">
      <c r="B223" s="365" t="str">
        <f>+Balance!A40</f>
        <v>PASIVO NO CORRIENTE</v>
      </c>
      <c r="C223" s="372">
        <f ca="1">+Balance!B40</f>
        <v>0</v>
      </c>
      <c r="D223" s="373" t="str">
        <f ca="1">+Balance!C40</f>
        <v/>
      </c>
      <c r="E223" s="372">
        <f ca="1">+Balance!D40</f>
        <v>0</v>
      </c>
      <c r="F223" s="373" t="str">
        <f ca="1">+Balance!E40</f>
        <v/>
      </c>
      <c r="G223" s="372">
        <f ca="1">+Balance!F40</f>
        <v>0</v>
      </c>
      <c r="H223" s="373" t="str">
        <f ca="1">+Balance!G40</f>
        <v/>
      </c>
      <c r="I223" s="372">
        <f ca="1">+Balance!H40</f>
        <v>0</v>
      </c>
      <c r="J223" s="373" t="str">
        <f ca="1">+Balance!I40</f>
        <v/>
      </c>
    </row>
    <row r="224" spans="2:10">
      <c r="B224" s="247" t="str">
        <f>+Balance!A41</f>
        <v>Préstamo</v>
      </c>
      <c r="C224" s="374">
        <f ca="1">+Balance!B41</f>
        <v>0</v>
      </c>
      <c r="D224" s="375"/>
      <c r="E224" s="374">
        <f ca="1">+Balance!D41</f>
        <v>0</v>
      </c>
      <c r="F224" s="375"/>
      <c r="G224" s="374">
        <f ca="1">+Balance!F41</f>
        <v>0</v>
      </c>
      <c r="H224" s="375"/>
      <c r="I224" s="374">
        <f ca="1">+Balance!H41</f>
        <v>0</v>
      </c>
      <c r="J224" s="375"/>
    </row>
    <row r="225" spans="2:10">
      <c r="B225" s="365" t="str">
        <f>+Balance!A42</f>
        <v>PASIVO CORRIENTE</v>
      </c>
      <c r="C225" s="374">
        <f ca="1">+Balance!B42</f>
        <v>0</v>
      </c>
      <c r="D225" s="379"/>
      <c r="E225" s="374">
        <f ca="1">+Balance!D42</f>
        <v>0</v>
      </c>
      <c r="F225" s="379"/>
      <c r="G225" s="374">
        <f ca="1">+Balance!F42</f>
        <v>0</v>
      </c>
      <c r="H225" s="379"/>
      <c r="I225" s="374">
        <f ca="1">+Balance!H42</f>
        <v>0</v>
      </c>
      <c r="J225" s="379"/>
    </row>
    <row r="226" spans="2:10">
      <c r="B226" s="242" t="str">
        <f>+Balance!A43</f>
        <v>Préstamo corto plazo</v>
      </c>
      <c r="C226" s="374">
        <f ca="1">+Balance!B43</f>
        <v>0</v>
      </c>
      <c r="D226" s="375"/>
      <c r="E226" s="374">
        <f ca="1">+Balance!D43</f>
        <v>0</v>
      </c>
      <c r="F226" s="375"/>
      <c r="G226" s="374">
        <f ca="1">+Balance!F43</f>
        <v>0</v>
      </c>
      <c r="H226" s="375"/>
      <c r="I226" s="374">
        <f ca="1">+Balance!H43</f>
        <v>0</v>
      </c>
      <c r="J226" s="375"/>
    </row>
    <row r="227" spans="2:10">
      <c r="B227" s="242" t="str">
        <f>+Balance!A44</f>
        <v>Proveedores</v>
      </c>
      <c r="C227" s="374">
        <f ca="1">+Balance!B44</f>
        <v>0</v>
      </c>
      <c r="D227" s="375"/>
      <c r="E227" s="374">
        <f ca="1">+Balance!D44</f>
        <v>0</v>
      </c>
      <c r="F227" s="375"/>
      <c r="G227" s="374">
        <f ca="1">+Balance!F44</f>
        <v>0</v>
      </c>
      <c r="H227" s="375"/>
      <c r="I227" s="374">
        <f ca="1">+Balance!H44</f>
        <v>0</v>
      </c>
      <c r="J227" s="375"/>
    </row>
    <row r="228" spans="2:10">
      <c r="B228" s="242" t="str">
        <f>+Balance!A45</f>
        <v>Acreedores / Hda. Pública</v>
      </c>
      <c r="C228" s="374">
        <f>+Balance!B45</f>
        <v>0</v>
      </c>
      <c r="D228" s="375"/>
      <c r="E228" s="374">
        <f ca="1">+Balance!D45</f>
        <v>0</v>
      </c>
      <c r="F228" s="375"/>
      <c r="G228" s="374">
        <f ca="1">+Balance!F45</f>
        <v>0</v>
      </c>
      <c r="H228" s="375"/>
      <c r="I228" s="374">
        <f ca="1">+Balance!H45</f>
        <v>0</v>
      </c>
      <c r="J228" s="375"/>
    </row>
    <row r="229" spans="2:10">
      <c r="B229" s="246" t="str">
        <f>+Balance!A51</f>
        <v>TOTAL P.N. Y PASIVO</v>
      </c>
      <c r="C229" s="372">
        <f ca="1">+Balance!B51</f>
        <v>0</v>
      </c>
      <c r="D229" s="373" t="str">
        <f ca="1">+Balance!C51</f>
        <v/>
      </c>
      <c r="E229" s="372">
        <f ca="1">+Balance!D51</f>
        <v>0</v>
      </c>
      <c r="F229" s="373" t="str">
        <f ca="1">+Balance!E51</f>
        <v/>
      </c>
      <c r="G229" s="372">
        <f ca="1">+Balance!F51</f>
        <v>0</v>
      </c>
      <c r="H229" s="373" t="str">
        <f ca="1">+Balance!G51</f>
        <v/>
      </c>
      <c r="I229" s="372">
        <f ca="1">+Balance!H51</f>
        <v>0</v>
      </c>
      <c r="J229" s="373" t="str">
        <f ca="1">+Balance!I51</f>
        <v/>
      </c>
    </row>
    <row r="230" spans="2:10">
      <c r="B230" s="188"/>
      <c r="C230" s="181"/>
      <c r="D230" s="181"/>
      <c r="E230" s="181"/>
      <c r="F230" s="181"/>
      <c r="G230" s="181"/>
      <c r="H230" s="181"/>
      <c r="I230" s="181"/>
      <c r="J230" s="181"/>
    </row>
    <row r="231" spans="2:10" ht="31.5" customHeight="1">
      <c r="B231" s="188" t="s">
        <v>306</v>
      </c>
      <c r="C231" s="181"/>
      <c r="D231" s="181"/>
      <c r="E231" s="181"/>
      <c r="F231" s="181"/>
      <c r="G231" s="181"/>
      <c r="H231" s="181"/>
      <c r="I231" s="181"/>
      <c r="J231" s="264"/>
    </row>
    <row r="232" spans="2:10">
      <c r="B232" s="180"/>
      <c r="C232" s="212">
        <f>+'Resultado x Actividad'!C2</f>
        <v>0</v>
      </c>
      <c r="D232" s="212">
        <f>+'Resultado x Actividad'!D2</f>
        <v>0</v>
      </c>
      <c r="E232" s="212">
        <f>+'Resultado x Actividad'!E2</f>
        <v>0</v>
      </c>
      <c r="F232" s="212">
        <f>+'Resultado x Actividad'!F2</f>
        <v>0</v>
      </c>
      <c r="G232" s="212">
        <f>+'Resultado x Actividad'!G2</f>
        <v>0</v>
      </c>
      <c r="H232" s="213" t="s">
        <v>318</v>
      </c>
      <c r="I232" s="204" t="str">
        <f>+'Resultado x Actividad'!R2</f>
        <v>AÑO 1</v>
      </c>
      <c r="J232" s="265"/>
    </row>
    <row r="233" spans="2:10" ht="5.25" customHeight="1">
      <c r="B233" s="180"/>
      <c r="C233" s="180"/>
      <c r="D233" s="180"/>
      <c r="E233" s="180"/>
      <c r="F233" s="180"/>
      <c r="G233" s="180"/>
      <c r="H233" s="187"/>
      <c r="I233" s="180"/>
      <c r="J233" s="266"/>
    </row>
    <row r="234" spans="2:10">
      <c r="B234" s="180" t="str">
        <f>+'Resultado x Actividad'!B4</f>
        <v>Ventas</v>
      </c>
      <c r="C234" s="374">
        <f>+'Resultado x Actividad'!C4</f>
        <v>0</v>
      </c>
      <c r="D234" s="374">
        <f>+'Resultado x Actividad'!D4</f>
        <v>0</v>
      </c>
      <c r="E234" s="374">
        <f>+'Resultado x Actividad'!E4</f>
        <v>0</v>
      </c>
      <c r="F234" s="374">
        <f>+'Resultado x Actividad'!F4</f>
        <v>0</v>
      </c>
      <c r="G234" s="374">
        <f>+'Resultado x Actividad'!G4</f>
        <v>0</v>
      </c>
      <c r="H234" s="374">
        <f>SUM('Resultado x Actividad'!H4:Q4)</f>
        <v>0</v>
      </c>
      <c r="I234" s="372">
        <f>+'Resultado x Actividad'!R4</f>
        <v>0</v>
      </c>
      <c r="J234" s="380" t="e">
        <f>+I234/I$234</f>
        <v>#DIV/0!</v>
      </c>
    </row>
    <row r="235" spans="2:10">
      <c r="B235" s="180" t="str">
        <f>+'Resultado x Actividad'!B5</f>
        <v>Coste de compra sin IVA</v>
      </c>
      <c r="C235" s="374">
        <f>+'Resultado x Actividad'!C5</f>
        <v>0</v>
      </c>
      <c r="D235" s="374">
        <f>+'Resultado x Actividad'!D5</f>
        <v>0</v>
      </c>
      <c r="E235" s="374">
        <f>+'Resultado x Actividad'!E5</f>
        <v>0</v>
      </c>
      <c r="F235" s="374">
        <f>+'Resultado x Actividad'!F5</f>
        <v>0</v>
      </c>
      <c r="G235" s="374">
        <f>+'Resultado x Actividad'!G5</f>
        <v>0</v>
      </c>
      <c r="H235" s="374">
        <f>SUM('Resultado x Actividad'!H5:Q5)</f>
        <v>0</v>
      </c>
      <c r="I235" s="372">
        <f>+'Resultado x Actividad'!R5</f>
        <v>0</v>
      </c>
      <c r="J235" s="381" t="e">
        <f t="shared" ref="J235:J243" si="14">+I235/I$234</f>
        <v>#DIV/0!</v>
      </c>
    </row>
    <row r="236" spans="2:10" hidden="1">
      <c r="B236" s="180" t="str">
        <f>+'Resultado x Actividad'!B6</f>
        <v>Otros costes variables</v>
      </c>
      <c r="C236" s="374">
        <f>+'Resultado x Actividad'!C6</f>
        <v>0</v>
      </c>
      <c r="D236" s="374">
        <f>+'Resultado x Actividad'!D6</f>
        <v>0</v>
      </c>
      <c r="E236" s="374">
        <f>+'Resultado x Actividad'!E6</f>
        <v>0</v>
      </c>
      <c r="F236" s="374">
        <f>+'Resultado x Actividad'!F6</f>
        <v>0</v>
      </c>
      <c r="G236" s="374">
        <f>+'Resultado x Actividad'!G6</f>
        <v>0</v>
      </c>
      <c r="H236" s="374">
        <f>SUM('Resultado x Actividad'!H6:Q6)</f>
        <v>0</v>
      </c>
      <c r="I236" s="372">
        <f>+'Resultado x Actividad'!R6</f>
        <v>0</v>
      </c>
      <c r="J236" s="381" t="e">
        <f t="shared" si="14"/>
        <v>#DIV/0!</v>
      </c>
    </row>
    <row r="237" spans="2:10" hidden="1">
      <c r="B237" s="214">
        <f>+'Resultado x Actividad'!B7</f>
        <v>0</v>
      </c>
      <c r="C237" s="374">
        <f>IF(ISERROR(+'Resultado x Actividad'!C7),0,(+'Resultado x Actividad'!C7))</f>
        <v>0</v>
      </c>
      <c r="D237" s="374">
        <f>IF(ISERROR(+'Resultado x Actividad'!D7),0,(+'Resultado x Actividad'!D7))</f>
        <v>0</v>
      </c>
      <c r="E237" s="374">
        <f>IF(ISERROR(+'Resultado x Actividad'!E7),0,(+'Resultado x Actividad'!E7))</f>
        <v>0</v>
      </c>
      <c r="F237" s="374">
        <f>IF(ISERROR(+'Resultado x Actividad'!F7),0,(+'Resultado x Actividad'!F7))</f>
        <v>0</v>
      </c>
      <c r="G237" s="374">
        <f>IF(ISERROR(+'Resultado x Actividad'!G7),0,(+'Resultado x Actividad'!G7))</f>
        <v>0</v>
      </c>
      <c r="H237" s="374">
        <f>IF(ISERROR(SUM('Resultado x Actividad'!H7:Q7)),0,(SUM('Resultado x Actividad'!H7:Q7)))</f>
        <v>0</v>
      </c>
      <c r="I237" s="372">
        <f>+'Resultado x Actividad'!R7</f>
        <v>0</v>
      </c>
      <c r="J237" s="381" t="e">
        <f t="shared" si="14"/>
        <v>#DIV/0!</v>
      </c>
    </row>
    <row r="238" spans="2:10" hidden="1">
      <c r="B238" s="214" t="str">
        <f>+'Resultado x Actividad'!B8</f>
        <v>Coste variable 1</v>
      </c>
      <c r="C238" s="374">
        <f>IF(ISERROR(+'Resultado x Actividad'!C8),0,(+'Resultado x Actividad'!C8))</f>
        <v>0</v>
      </c>
      <c r="D238" s="374">
        <f>IF(ISERROR(+'Resultado x Actividad'!D8),0,(+'Resultado x Actividad'!D8))</f>
        <v>0</v>
      </c>
      <c r="E238" s="374">
        <f>IF(ISERROR(+'Resultado x Actividad'!E8),0,(+'Resultado x Actividad'!E8))</f>
        <v>0</v>
      </c>
      <c r="F238" s="374">
        <f>IF(ISERROR(+'Resultado x Actividad'!F8),0,(+'Resultado x Actividad'!F8))</f>
        <v>0</v>
      </c>
      <c r="G238" s="374">
        <f>IF(ISERROR(+'Resultado x Actividad'!G8),0,(+'Resultado x Actividad'!G8))</f>
        <v>0</v>
      </c>
      <c r="H238" s="374">
        <f>IF(ISERROR(SUM('Resultado x Actividad'!H8:Q8)),0,(SUM('Resultado x Actividad'!H8:Q8)))</f>
        <v>0</v>
      </c>
      <c r="I238" s="372">
        <f>+'Resultado x Actividad'!R8</f>
        <v>0</v>
      </c>
      <c r="J238" s="381" t="e">
        <f t="shared" si="14"/>
        <v>#DIV/0!</v>
      </c>
    </row>
    <row r="239" spans="2:10" hidden="1">
      <c r="B239" s="214" t="str">
        <f>+'Resultado x Actividad'!B9</f>
        <v>Coste variable 2</v>
      </c>
      <c r="C239" s="374">
        <f>IF(ISERROR(+'Resultado x Actividad'!C9),0,(+'Resultado x Actividad'!C9))</f>
        <v>0</v>
      </c>
      <c r="D239" s="374">
        <f>IF(ISERROR(+'Resultado x Actividad'!D9),0,(+'Resultado x Actividad'!D9))</f>
        <v>0</v>
      </c>
      <c r="E239" s="374">
        <f>IF(ISERROR(+'Resultado x Actividad'!E9),0,(+'Resultado x Actividad'!E9))</f>
        <v>0</v>
      </c>
      <c r="F239" s="374">
        <f>IF(ISERROR(+'Resultado x Actividad'!F9),0,(+'Resultado x Actividad'!F9))</f>
        <v>0</v>
      </c>
      <c r="G239" s="374">
        <f>IF(ISERROR(+'Resultado x Actividad'!G9),0,(+'Resultado x Actividad'!G9))</f>
        <v>0</v>
      </c>
      <c r="H239" s="374">
        <f>IF(ISERROR(SUM('Resultado x Actividad'!H9:Q9)),0,(SUM('Resultado x Actividad'!H9:Q9)))</f>
        <v>0</v>
      </c>
      <c r="I239" s="372">
        <f>+'Resultado x Actividad'!R9</f>
        <v>0</v>
      </c>
      <c r="J239" s="381" t="e">
        <f t="shared" si="14"/>
        <v>#DIV/0!</v>
      </c>
    </row>
    <row r="240" spans="2:10" hidden="1">
      <c r="B240" s="214" t="str">
        <f>+'Resultado x Actividad'!B10</f>
        <v>Coste variable 3</v>
      </c>
      <c r="C240" s="374">
        <f>IF(ISERROR(+'Resultado x Actividad'!C10),0,(+'Resultado x Actividad'!C10))</f>
        <v>0</v>
      </c>
      <c r="D240" s="374">
        <f>IF(ISERROR(+'Resultado x Actividad'!D10),0,(+'Resultado x Actividad'!D10))</f>
        <v>0</v>
      </c>
      <c r="E240" s="374">
        <f>IF(ISERROR(+'Resultado x Actividad'!E10),0,(+'Resultado x Actividad'!E10))</f>
        <v>0</v>
      </c>
      <c r="F240" s="374">
        <f>IF(ISERROR(+'Resultado x Actividad'!F10),0,(+'Resultado x Actividad'!F10))</f>
        <v>0</v>
      </c>
      <c r="G240" s="374">
        <f>IF(ISERROR(+'Resultado x Actividad'!G10),0,(+'Resultado x Actividad'!G10))</f>
        <v>0</v>
      </c>
      <c r="H240" s="374">
        <f>IF(ISERROR(SUM('Resultado x Actividad'!H10:Q10)),0,(SUM('Resultado x Actividad'!H10:Q10)))</f>
        <v>0</v>
      </c>
      <c r="I240" s="372">
        <f>+'Resultado x Actividad'!R10</f>
        <v>0</v>
      </c>
      <c r="J240" s="381" t="e">
        <f t="shared" si="14"/>
        <v>#DIV/0!</v>
      </c>
    </row>
    <row r="241" spans="2:10" hidden="1">
      <c r="B241" s="214" t="str">
        <f>+'Resultado x Actividad'!B11</f>
        <v>Coste variable 4</v>
      </c>
      <c r="C241" s="374">
        <f>IF(ISERROR(+'Resultado x Actividad'!C11),0,(+'Resultado x Actividad'!C11))</f>
        <v>0</v>
      </c>
      <c r="D241" s="374">
        <f>IF(ISERROR(+'Resultado x Actividad'!D11),0,(+'Resultado x Actividad'!D11))</f>
        <v>0</v>
      </c>
      <c r="E241" s="374">
        <f>IF(ISERROR(+'Resultado x Actividad'!E11),0,(+'Resultado x Actividad'!E11))</f>
        <v>0</v>
      </c>
      <c r="F241" s="374">
        <f>IF(ISERROR(+'Resultado x Actividad'!F11),0,(+'Resultado x Actividad'!F11))</f>
        <v>0</v>
      </c>
      <c r="G241" s="374">
        <f>IF(ISERROR(+'Resultado x Actividad'!G11),0,(+'Resultado x Actividad'!G11))</f>
        <v>0</v>
      </c>
      <c r="H241" s="374">
        <f>IF(ISERROR(SUM('Resultado x Actividad'!H11:Q11)),0,(SUM('Resultado x Actividad'!H11:Q11)))</f>
        <v>0</v>
      </c>
      <c r="I241" s="372">
        <f>+'Resultado x Actividad'!R11</f>
        <v>0</v>
      </c>
      <c r="J241" s="381" t="e">
        <f t="shared" si="14"/>
        <v>#DIV/0!</v>
      </c>
    </row>
    <row r="242" spans="2:10" hidden="1">
      <c r="B242" s="214" t="str">
        <f>+'Resultado x Actividad'!B12</f>
        <v>Coste variable 5</v>
      </c>
      <c r="C242" s="374">
        <f>IF(ISERROR(+'Resultado x Actividad'!C12),0,(+'Resultado x Actividad'!C12))</f>
        <v>0</v>
      </c>
      <c r="D242" s="374">
        <f>IF(ISERROR(+'Resultado x Actividad'!D12),0,(+'Resultado x Actividad'!D12))</f>
        <v>0</v>
      </c>
      <c r="E242" s="374">
        <f>IF(ISERROR(+'Resultado x Actividad'!E12),0,(+'Resultado x Actividad'!E12))</f>
        <v>0</v>
      </c>
      <c r="F242" s="374">
        <f>IF(ISERROR(+'Resultado x Actividad'!F12),0,(+'Resultado x Actividad'!F12))</f>
        <v>0</v>
      </c>
      <c r="G242" s="374">
        <f>IF(ISERROR(+'Resultado x Actividad'!G12),0,(+'Resultado x Actividad'!G12))</f>
        <v>0</v>
      </c>
      <c r="H242" s="374">
        <f>IF(ISERROR(SUM('Resultado x Actividad'!H12:Q12)),0,(SUM('Resultado x Actividad'!H12:Q12)))</f>
        <v>0</v>
      </c>
      <c r="I242" s="372">
        <f>+'Resultado x Actividad'!R12</f>
        <v>0</v>
      </c>
      <c r="J242" s="381" t="e">
        <f t="shared" si="14"/>
        <v>#DIV/0!</v>
      </c>
    </row>
    <row r="243" spans="2:10" hidden="1">
      <c r="B243" s="214" t="str">
        <f>+'Resultado x Actividad'!B13</f>
        <v>Coste variable 6</v>
      </c>
      <c r="C243" s="374">
        <f>IF(ISERROR(+'Resultado x Actividad'!C13),0,(+'Resultado x Actividad'!C13))</f>
        <v>0</v>
      </c>
      <c r="D243" s="374">
        <f>IF(ISERROR(+'Resultado x Actividad'!D13),0,(+'Resultado x Actividad'!D13))</f>
        <v>0</v>
      </c>
      <c r="E243" s="374">
        <f>IF(ISERROR(+'Resultado x Actividad'!E13),0,(+'Resultado x Actividad'!E13))</f>
        <v>0</v>
      </c>
      <c r="F243" s="374">
        <f>IF(ISERROR(+'Resultado x Actividad'!F13),0,(+'Resultado x Actividad'!F13))</f>
        <v>0</v>
      </c>
      <c r="G243" s="374">
        <f>IF(ISERROR(+'Resultado x Actividad'!G13),0,(+'Resultado x Actividad'!G13))</f>
        <v>0</v>
      </c>
      <c r="H243" s="374">
        <f>IF(ISERROR(SUM('Resultado x Actividad'!H13:Q13)),0,(SUM('Resultado x Actividad'!H13:Q13)))</f>
        <v>0</v>
      </c>
      <c r="I243" s="372">
        <f>+'Resultado x Actividad'!R13</f>
        <v>0</v>
      </c>
      <c r="J243" s="381" t="e">
        <f t="shared" si="14"/>
        <v>#DIV/0!</v>
      </c>
    </row>
    <row r="244" spans="2:10" s="168" customFormat="1" ht="4.5" customHeight="1">
      <c r="B244" s="215"/>
      <c r="C244" s="382"/>
      <c r="D244" s="382"/>
      <c r="E244" s="382"/>
      <c r="F244" s="382"/>
      <c r="G244" s="382"/>
      <c r="H244" s="382">
        <f>SUM('Resultado x Actividad'!H14:Q14)</f>
        <v>0</v>
      </c>
      <c r="I244" s="383"/>
      <c r="J244" s="384"/>
    </row>
    <row r="245" spans="2:10">
      <c r="B245" s="183" t="str">
        <f>+'Resultado x Actividad'!B15</f>
        <v>Margen bruto</v>
      </c>
      <c r="C245" s="374">
        <f>+'Resultado x Actividad'!C15</f>
        <v>0</v>
      </c>
      <c r="D245" s="374">
        <f>+'Resultado x Actividad'!D15</f>
        <v>0</v>
      </c>
      <c r="E245" s="374">
        <f>+'Resultado x Actividad'!E15</f>
        <v>0</v>
      </c>
      <c r="F245" s="374">
        <f>+'Resultado x Actividad'!F15</f>
        <v>0</v>
      </c>
      <c r="G245" s="374">
        <f>+'Resultado x Actividad'!G15</f>
        <v>0</v>
      </c>
      <c r="H245" s="374">
        <f>SUM('Resultado x Actividad'!H15:Q15)</f>
        <v>0</v>
      </c>
      <c r="I245" s="372">
        <f>+'Resultado x Actividad'!R15</f>
        <v>0</v>
      </c>
      <c r="J245" s="380" t="e">
        <f>+I245/I$234</f>
        <v>#DIV/0!</v>
      </c>
    </row>
    <row r="246" spans="2:10" s="168" customFormat="1" ht="5.25" customHeight="1">
      <c r="B246" s="216"/>
      <c r="C246" s="382"/>
      <c r="D246" s="382"/>
      <c r="E246" s="382"/>
      <c r="F246" s="382"/>
      <c r="G246" s="382"/>
      <c r="H246" s="382"/>
      <c r="I246" s="383"/>
      <c r="J246" s="385"/>
    </row>
    <row r="247" spans="2:10">
      <c r="B247" s="218" t="str">
        <f>+'Resultado x Actividad'!B17</f>
        <v>Sueldos y salarios</v>
      </c>
      <c r="C247" s="386"/>
      <c r="D247" s="386"/>
      <c r="E247" s="386"/>
      <c r="F247" s="386"/>
      <c r="G247" s="386"/>
      <c r="H247" s="386"/>
      <c r="I247" s="372">
        <f>+'Resultado x Actividad'!R17</f>
        <v>0</v>
      </c>
      <c r="J247" s="381" t="e">
        <f t="shared" ref="J247:J256" si="15">+I247/I$234</f>
        <v>#DIV/0!</v>
      </c>
    </row>
    <row r="248" spans="2:10">
      <c r="B248" s="218" t="str">
        <f>+'Resultado x Actividad'!B18</f>
        <v>Seguridad social</v>
      </c>
      <c r="C248" s="386"/>
      <c r="D248" s="386"/>
      <c r="E248" s="386"/>
      <c r="F248" s="386"/>
      <c r="G248" s="386"/>
      <c r="H248" s="386"/>
      <c r="I248" s="372">
        <f>+'Resultado x Actividad'!R18</f>
        <v>0</v>
      </c>
      <c r="J248" s="381" t="e">
        <f t="shared" si="15"/>
        <v>#DIV/0!</v>
      </c>
    </row>
    <row r="249" spans="2:10">
      <c r="B249" s="218" t="str">
        <f>+'Resultado x Actividad'!B19</f>
        <v>Publicidad</v>
      </c>
      <c r="C249" s="386"/>
      <c r="D249" s="386"/>
      <c r="E249" s="386"/>
      <c r="F249" s="386"/>
      <c r="G249" s="386"/>
      <c r="H249" s="386"/>
      <c r="I249" s="372">
        <f>+'Resultado x Actividad'!R19</f>
        <v>0</v>
      </c>
      <c r="J249" s="381" t="e">
        <f t="shared" si="15"/>
        <v>#DIV/0!</v>
      </c>
    </row>
    <row r="250" spans="2:10">
      <c r="B250" s="218">
        <f>+'Resultado x Actividad'!B20</f>
        <v>0</v>
      </c>
      <c r="C250" s="386"/>
      <c r="D250" s="386"/>
      <c r="E250" s="386"/>
      <c r="F250" s="386"/>
      <c r="G250" s="386"/>
      <c r="H250" s="386"/>
      <c r="I250" s="372">
        <f>+'Resultado x Actividad'!R20</f>
        <v>0</v>
      </c>
      <c r="J250" s="381" t="e">
        <f t="shared" si="15"/>
        <v>#DIV/0!</v>
      </c>
    </row>
    <row r="251" spans="2:10">
      <c r="B251" s="218">
        <f>+'Resultado x Actividad'!B21</f>
        <v>0</v>
      </c>
      <c r="C251" s="386"/>
      <c r="D251" s="386"/>
      <c r="E251" s="386"/>
      <c r="F251" s="386"/>
      <c r="G251" s="386"/>
      <c r="H251" s="386"/>
      <c r="I251" s="372">
        <f>+'Resultado x Actividad'!R21</f>
        <v>0</v>
      </c>
      <c r="J251" s="381" t="e">
        <f t="shared" si="15"/>
        <v>#DIV/0!</v>
      </c>
    </row>
    <row r="252" spans="2:10">
      <c r="B252" s="218">
        <f>+'Resultado x Actividad'!B22</f>
        <v>0</v>
      </c>
      <c r="C252" s="386"/>
      <c r="D252" s="386"/>
      <c r="E252" s="386"/>
      <c r="F252" s="386"/>
      <c r="G252" s="386"/>
      <c r="H252" s="386"/>
      <c r="I252" s="372">
        <f>+'Resultado x Actividad'!R22</f>
        <v>0</v>
      </c>
      <c r="J252" s="381" t="e">
        <f t="shared" si="15"/>
        <v>#DIV/0!</v>
      </c>
    </row>
    <row r="253" spans="2:10">
      <c r="B253" s="218" t="str">
        <f>+'Resultado x Actividad'!B23</f>
        <v>Otros costes fijos</v>
      </c>
      <c r="C253" s="386"/>
      <c r="D253" s="386"/>
      <c r="E253" s="386"/>
      <c r="F253" s="386"/>
      <c r="G253" s="386"/>
      <c r="H253" s="386"/>
      <c r="I253" s="372">
        <f>+'Resultado x Actividad'!R23</f>
        <v>0</v>
      </c>
      <c r="J253" s="381" t="e">
        <f t="shared" si="15"/>
        <v>#DIV/0!</v>
      </c>
    </row>
    <row r="254" spans="2:10">
      <c r="B254" s="218" t="str">
        <f>+'Resultado x Actividad'!B24</f>
        <v>Amortización</v>
      </c>
      <c r="C254" s="386"/>
      <c r="D254" s="386"/>
      <c r="E254" s="386"/>
      <c r="F254" s="386"/>
      <c r="G254" s="386"/>
      <c r="H254" s="386"/>
      <c r="I254" s="372">
        <f ca="1">+'Resultado x Actividad'!R24</f>
        <v>0</v>
      </c>
      <c r="J254" s="381" t="e">
        <f t="shared" ca="1" si="15"/>
        <v>#DIV/0!</v>
      </c>
    </row>
    <row r="255" spans="2:10">
      <c r="B255" s="218" t="str">
        <f>+'Resultado x Actividad'!B25</f>
        <v>Provisiones</v>
      </c>
      <c r="C255" s="386"/>
      <c r="D255" s="386"/>
      <c r="E255" s="386"/>
      <c r="F255" s="386"/>
      <c r="G255" s="386"/>
      <c r="H255" s="386"/>
      <c r="I255" s="372">
        <f>+'Resultado x Actividad'!R25</f>
        <v>0</v>
      </c>
      <c r="J255" s="381" t="e">
        <f t="shared" si="15"/>
        <v>#DIV/0!</v>
      </c>
    </row>
    <row r="256" spans="2:10">
      <c r="B256" s="218" t="str">
        <f>+'Resultado x Actividad'!B26</f>
        <v>Gastos financieros</v>
      </c>
      <c r="C256" s="386"/>
      <c r="D256" s="386"/>
      <c r="E256" s="386"/>
      <c r="F256" s="386"/>
      <c r="G256" s="386"/>
      <c r="H256" s="386"/>
      <c r="I256" s="372">
        <f ca="1">+'Resultado x Actividad'!R26</f>
        <v>0</v>
      </c>
      <c r="J256" s="381" t="e">
        <f t="shared" ca="1" si="15"/>
        <v>#DIV/0!</v>
      </c>
    </row>
    <row r="257" spans="2:11" s="168" customFormat="1" ht="7.5" customHeight="1">
      <c r="B257" s="217"/>
      <c r="C257" s="386"/>
      <c r="D257" s="386"/>
      <c r="E257" s="386"/>
      <c r="F257" s="386"/>
      <c r="G257" s="386"/>
      <c r="H257" s="386"/>
      <c r="I257" s="383"/>
      <c r="J257" s="385"/>
    </row>
    <row r="258" spans="2:11">
      <c r="B258" s="183" t="str">
        <f>+'Resultado x Actividad'!B30</f>
        <v>Resultado antes impuestos</v>
      </c>
      <c r="C258" s="386"/>
      <c r="D258" s="386"/>
      <c r="E258" s="386"/>
      <c r="F258" s="386"/>
      <c r="G258" s="386"/>
      <c r="H258" s="386"/>
      <c r="I258" s="372">
        <f ca="1">+'Resultado x Actividad'!R30</f>
        <v>0</v>
      </c>
      <c r="J258" s="387" t="e">
        <f ca="1">+I258/I$234</f>
        <v>#DIV/0!</v>
      </c>
    </row>
    <row r="259" spans="2:11">
      <c r="B259" s="188"/>
      <c r="C259" s="264"/>
      <c r="D259" s="264"/>
      <c r="E259" s="264"/>
      <c r="F259" s="264"/>
      <c r="G259" s="264"/>
      <c r="H259" s="264"/>
      <c r="I259" s="264"/>
      <c r="J259" s="264"/>
    </row>
    <row r="260" spans="2:11" ht="31.5" customHeight="1">
      <c r="B260" s="188" t="s">
        <v>307</v>
      </c>
      <c r="C260" s="181"/>
      <c r="D260" s="181"/>
      <c r="E260" s="181"/>
      <c r="F260" s="181"/>
      <c r="G260" s="181"/>
      <c r="H260" s="181"/>
      <c r="I260" s="181"/>
      <c r="J260" s="264"/>
    </row>
    <row r="261" spans="2:11">
      <c r="B261" s="188"/>
      <c r="C261" s="181"/>
      <c r="D261" s="181"/>
      <c r="E261" s="181"/>
      <c r="F261" s="181"/>
      <c r="G261" s="181"/>
      <c r="H261" s="181"/>
      <c r="I261" s="181"/>
      <c r="J261" s="181"/>
    </row>
    <row r="262" spans="2:11">
      <c r="B262" s="180"/>
      <c r="C262" s="181"/>
      <c r="E262" s="182">
        <f>+'Resultados mensuales '!C2</f>
        <v>44197</v>
      </c>
      <c r="F262" s="182">
        <f>+'Resultados mensuales '!D2</f>
        <v>44228</v>
      </c>
      <c r="G262" s="182">
        <f>+'Resultados mensuales '!E2</f>
        <v>44256</v>
      </c>
      <c r="H262" s="182">
        <f>+'Resultados mensuales '!F2</f>
        <v>44287</v>
      </c>
      <c r="I262" s="182">
        <f>+'Resultados mensuales '!G2</f>
        <v>44317</v>
      </c>
      <c r="J262" s="182">
        <f>+'Resultados mensuales '!H2</f>
        <v>44348</v>
      </c>
      <c r="K262" s="117"/>
    </row>
    <row r="263" spans="2:11" ht="8.25" customHeight="1">
      <c r="B263" s="180"/>
      <c r="C263" s="181"/>
      <c r="E263" s="180"/>
      <c r="F263" s="180"/>
      <c r="G263" s="180"/>
      <c r="H263" s="180"/>
      <c r="I263" s="180"/>
      <c r="J263" s="181"/>
      <c r="K263" s="117"/>
    </row>
    <row r="264" spans="2:11">
      <c r="B264" s="183" t="str">
        <f>+'Resultados mensuales '!B4</f>
        <v>Total Ventas</v>
      </c>
      <c r="C264" s="181"/>
      <c r="E264" s="372">
        <f>+'Resultados mensuales '!C4</f>
        <v>0</v>
      </c>
      <c r="F264" s="372">
        <f>+'Resultados mensuales '!D4</f>
        <v>0</v>
      </c>
      <c r="G264" s="372">
        <f>+'Resultados mensuales '!E4</f>
        <v>0</v>
      </c>
      <c r="H264" s="372">
        <f>+'Resultados mensuales '!F4</f>
        <v>0</v>
      </c>
      <c r="I264" s="372">
        <f>+'Resultados mensuales '!G4</f>
        <v>0</v>
      </c>
      <c r="J264" s="372">
        <f>+'Resultados mensuales '!H4</f>
        <v>0</v>
      </c>
      <c r="K264" s="117"/>
    </row>
    <row r="265" spans="2:11">
      <c r="B265" s="180" t="str">
        <f>+'Resultados mensuales '!B5</f>
        <v>Coste de compra sin IVA</v>
      </c>
      <c r="C265" s="181"/>
      <c r="E265" s="374">
        <f>+'Resultados mensuales '!C5</f>
        <v>0</v>
      </c>
      <c r="F265" s="374">
        <f>+'Resultados mensuales '!D5</f>
        <v>0</v>
      </c>
      <c r="G265" s="374">
        <f>+'Resultados mensuales '!E5</f>
        <v>0</v>
      </c>
      <c r="H265" s="374">
        <f>+'Resultados mensuales '!F5</f>
        <v>0</v>
      </c>
      <c r="I265" s="374">
        <f>+'Resultados mensuales '!G5</f>
        <v>0</v>
      </c>
      <c r="J265" s="374">
        <f>+'Resultados mensuales '!H5</f>
        <v>0</v>
      </c>
      <c r="K265" s="117"/>
    </row>
    <row r="266" spans="2:11">
      <c r="B266" s="180" t="str">
        <f>+'Resultados mensuales '!B6</f>
        <v>Otros costes variables</v>
      </c>
      <c r="C266" s="181"/>
      <c r="E266" s="374">
        <f>+'Resultados mensuales '!C6</f>
        <v>0</v>
      </c>
      <c r="F266" s="374">
        <f>+'Resultados mensuales '!D6</f>
        <v>0</v>
      </c>
      <c r="G266" s="374">
        <f>+'Resultados mensuales '!E6</f>
        <v>0</v>
      </c>
      <c r="H266" s="374">
        <f>+'Resultados mensuales '!F6</f>
        <v>0</v>
      </c>
      <c r="I266" s="374">
        <f>+'Resultados mensuales '!G6</f>
        <v>0</v>
      </c>
      <c r="J266" s="374">
        <f>+'Resultados mensuales '!H6</f>
        <v>0</v>
      </c>
      <c r="K266" s="117"/>
    </row>
    <row r="267" spans="2:11">
      <c r="B267" s="183" t="str">
        <f>+'Resultados mensuales '!B7</f>
        <v>MARGEN BRUTO</v>
      </c>
      <c r="C267" s="181"/>
      <c r="E267" s="388">
        <f>+'Resultados mensuales '!C7</f>
        <v>0</v>
      </c>
      <c r="F267" s="388">
        <f>+'Resultados mensuales '!D7</f>
        <v>0</v>
      </c>
      <c r="G267" s="388">
        <f>+'Resultados mensuales '!E7</f>
        <v>0</v>
      </c>
      <c r="H267" s="388">
        <f>+'Resultados mensuales '!F7</f>
        <v>0</v>
      </c>
      <c r="I267" s="388">
        <f>+'Resultados mensuales '!G7</f>
        <v>0</v>
      </c>
      <c r="J267" s="388">
        <f>+'Resultados mensuales '!H7</f>
        <v>0</v>
      </c>
      <c r="K267" s="117"/>
    </row>
    <row r="268" spans="2:11" ht="8.25" customHeight="1">
      <c r="B268" s="180"/>
      <c r="C268" s="181"/>
      <c r="E268" s="389"/>
      <c r="F268" s="389"/>
      <c r="G268" s="389"/>
      <c r="H268" s="389"/>
      <c r="I268" s="389"/>
      <c r="J268" s="389"/>
      <c r="K268" s="117"/>
    </row>
    <row r="269" spans="2:11">
      <c r="B269" s="185" t="str">
        <f>+'Resultados mensuales '!B9</f>
        <v>Sueldos y salarios</v>
      </c>
      <c r="C269" s="181"/>
      <c r="E269" s="374">
        <f>+'Resultados mensuales '!C9</f>
        <v>0</v>
      </c>
      <c r="F269" s="374">
        <f>+'Resultados mensuales '!D9</f>
        <v>0</v>
      </c>
      <c r="G269" s="374">
        <f>+'Resultados mensuales '!E9</f>
        <v>0</v>
      </c>
      <c r="H269" s="374">
        <f>+'Resultados mensuales '!F9</f>
        <v>0</v>
      </c>
      <c r="I269" s="374">
        <f>+'Resultados mensuales '!G9</f>
        <v>0</v>
      </c>
      <c r="J269" s="374">
        <f>+'Resultados mensuales '!H9</f>
        <v>0</v>
      </c>
      <c r="K269" s="117"/>
    </row>
    <row r="270" spans="2:11">
      <c r="B270" s="185" t="str">
        <f>+'Resultados mensuales '!B10</f>
        <v>Seguridad social</v>
      </c>
      <c r="C270" s="181"/>
      <c r="E270" s="374">
        <f>+'Resultados mensuales '!C10</f>
        <v>0</v>
      </c>
      <c r="F270" s="374">
        <f>+'Resultados mensuales '!D10</f>
        <v>0</v>
      </c>
      <c r="G270" s="374">
        <f>+'Resultados mensuales '!E10</f>
        <v>0</v>
      </c>
      <c r="H270" s="374">
        <f>+'Resultados mensuales '!F10</f>
        <v>0</v>
      </c>
      <c r="I270" s="374">
        <f>+'Resultados mensuales '!G10</f>
        <v>0</v>
      </c>
      <c r="J270" s="374">
        <f>+'Resultados mensuales '!H10</f>
        <v>0</v>
      </c>
      <c r="K270" s="117"/>
    </row>
    <row r="271" spans="2:11">
      <c r="B271" s="185" t="str">
        <f>+'Resultados mensuales '!B11</f>
        <v>Publicidad</v>
      </c>
      <c r="C271" s="181"/>
      <c r="E271" s="374">
        <f>+'Resultados mensuales '!C11</f>
        <v>0</v>
      </c>
      <c r="F271" s="374">
        <f>+'Resultados mensuales '!D11</f>
        <v>0</v>
      </c>
      <c r="G271" s="374">
        <f>+'Resultados mensuales '!E11</f>
        <v>0</v>
      </c>
      <c r="H271" s="374">
        <f>+'Resultados mensuales '!F11</f>
        <v>0</v>
      </c>
      <c r="I271" s="374">
        <f>+'Resultados mensuales '!G11</f>
        <v>0</v>
      </c>
      <c r="J271" s="374">
        <f>+'Resultados mensuales '!H11</f>
        <v>0</v>
      </c>
      <c r="K271" s="117"/>
    </row>
    <row r="272" spans="2:11">
      <c r="B272" s="185">
        <f>+'Resultados mensuales '!B12</f>
        <v>0</v>
      </c>
      <c r="C272" s="181"/>
      <c r="E272" s="374">
        <f>+'Resultados mensuales '!C12</f>
        <v>0</v>
      </c>
      <c r="F272" s="374">
        <f>+'Resultados mensuales '!D12</f>
        <v>0</v>
      </c>
      <c r="G272" s="374">
        <f>+'Resultados mensuales '!E12</f>
        <v>0</v>
      </c>
      <c r="H272" s="374">
        <f>+'Resultados mensuales '!F12</f>
        <v>0</v>
      </c>
      <c r="I272" s="374">
        <f>+'Resultados mensuales '!G12</f>
        <v>0</v>
      </c>
      <c r="J272" s="374">
        <f>+'Resultados mensuales '!H12</f>
        <v>0</v>
      </c>
      <c r="K272" s="117"/>
    </row>
    <row r="273" spans="2:14">
      <c r="B273" s="185">
        <f>+'Resultados mensuales '!B13</f>
        <v>0</v>
      </c>
      <c r="C273" s="181"/>
      <c r="E273" s="374">
        <f>+'Resultados mensuales '!C13</f>
        <v>0</v>
      </c>
      <c r="F273" s="374">
        <f>+'Resultados mensuales '!D13</f>
        <v>0</v>
      </c>
      <c r="G273" s="374">
        <f>+'Resultados mensuales '!E13</f>
        <v>0</v>
      </c>
      <c r="H273" s="374">
        <f>+'Resultados mensuales '!F13</f>
        <v>0</v>
      </c>
      <c r="I273" s="374">
        <f>+'Resultados mensuales '!G13</f>
        <v>0</v>
      </c>
      <c r="J273" s="374">
        <f>+'Resultados mensuales '!H13</f>
        <v>0</v>
      </c>
      <c r="K273" s="117"/>
    </row>
    <row r="274" spans="2:14">
      <c r="B274" s="185">
        <f>+'Resultados mensuales '!B14</f>
        <v>0</v>
      </c>
      <c r="C274" s="181"/>
      <c r="E274" s="374">
        <f>+'Resultados mensuales '!C14</f>
        <v>0</v>
      </c>
      <c r="F274" s="374">
        <f>+'Resultados mensuales '!D14</f>
        <v>0</v>
      </c>
      <c r="G274" s="374">
        <f>+'Resultados mensuales '!E14</f>
        <v>0</v>
      </c>
      <c r="H274" s="374">
        <f>+'Resultados mensuales '!F14</f>
        <v>0</v>
      </c>
      <c r="I274" s="374">
        <f>+'Resultados mensuales '!G14</f>
        <v>0</v>
      </c>
      <c r="J274" s="374">
        <f>+'Resultados mensuales '!H14</f>
        <v>0</v>
      </c>
      <c r="K274" s="117"/>
    </row>
    <row r="275" spans="2:14">
      <c r="B275" s="185" t="s">
        <v>126</v>
      </c>
      <c r="C275" s="181"/>
      <c r="E275" s="374">
        <f>SUM('Resultados mensuales '!C15:C29)</f>
        <v>0</v>
      </c>
      <c r="F275" s="374">
        <f>SUM('Resultados mensuales '!D15:D29)</f>
        <v>0</v>
      </c>
      <c r="G275" s="374">
        <f>SUM('Resultados mensuales '!E15:E29)</f>
        <v>0</v>
      </c>
      <c r="H275" s="374">
        <f>SUM('Resultados mensuales '!F15:F29)</f>
        <v>0</v>
      </c>
      <c r="I275" s="374">
        <f>SUM('Resultados mensuales '!G15:G29)</f>
        <v>0</v>
      </c>
      <c r="J275" s="374">
        <f>SUM('Resultados mensuales '!H15:H29)</f>
        <v>0</v>
      </c>
      <c r="K275" s="117"/>
    </row>
    <row r="276" spans="2:14">
      <c r="B276" s="185" t="s">
        <v>133</v>
      </c>
      <c r="C276" s="181"/>
      <c r="E276" s="374">
        <f ca="1">+'Resultados mensuales '!C30</f>
        <v>0</v>
      </c>
      <c r="F276" s="374">
        <f ca="1">+'Resultados mensuales '!D30</f>
        <v>0</v>
      </c>
      <c r="G276" s="374">
        <f ca="1">+'Resultados mensuales '!E30</f>
        <v>0</v>
      </c>
      <c r="H276" s="374">
        <f ca="1">+'Resultados mensuales '!F30</f>
        <v>0</v>
      </c>
      <c r="I276" s="374">
        <f ca="1">+'Resultados mensuales '!G30</f>
        <v>0</v>
      </c>
      <c r="J276" s="374">
        <f ca="1">+'Resultados mensuales '!H30</f>
        <v>0</v>
      </c>
      <c r="K276" s="117"/>
    </row>
    <row r="277" spans="2:14">
      <c r="B277" s="185" t="s">
        <v>192</v>
      </c>
      <c r="C277" s="181"/>
      <c r="E277" s="374">
        <f>+'Resultados mensuales '!C31</f>
        <v>0</v>
      </c>
      <c r="F277" s="374">
        <f>+'Resultados mensuales '!D31</f>
        <v>0</v>
      </c>
      <c r="G277" s="374">
        <f>+'Resultados mensuales '!E31</f>
        <v>0</v>
      </c>
      <c r="H277" s="374">
        <f>+'Resultados mensuales '!F31</f>
        <v>0</v>
      </c>
      <c r="I277" s="374">
        <f>+'Resultados mensuales '!G31</f>
        <v>0</v>
      </c>
      <c r="J277" s="374">
        <f>+'Resultados mensuales '!H31</f>
        <v>0</v>
      </c>
      <c r="K277" s="117"/>
    </row>
    <row r="278" spans="2:14">
      <c r="B278" s="180" t="s">
        <v>193</v>
      </c>
      <c r="C278" s="181"/>
      <c r="E278" s="374">
        <f ca="1">+'Resultados mensuales '!C32</f>
        <v>0</v>
      </c>
      <c r="F278" s="374">
        <f ca="1">+'Resultados mensuales '!D32</f>
        <v>0</v>
      </c>
      <c r="G278" s="374">
        <f ca="1">+'Resultados mensuales '!E32</f>
        <v>0</v>
      </c>
      <c r="H278" s="374">
        <f ca="1">+'Resultados mensuales '!F32</f>
        <v>0</v>
      </c>
      <c r="I278" s="374">
        <f ca="1">+'Resultados mensuales '!G32</f>
        <v>0</v>
      </c>
      <c r="J278" s="374">
        <f ca="1">+'Resultados mensuales '!H32</f>
        <v>0</v>
      </c>
      <c r="K278" s="117"/>
    </row>
    <row r="279" spans="2:14" ht="4.5" customHeight="1">
      <c r="B279" s="183"/>
      <c r="C279" s="181"/>
      <c r="E279" s="389"/>
      <c r="F279" s="389"/>
      <c r="G279" s="389"/>
      <c r="H279" s="389"/>
      <c r="I279" s="389"/>
      <c r="J279" s="389"/>
      <c r="K279" s="117"/>
    </row>
    <row r="280" spans="2:14">
      <c r="B280" s="183" t="s">
        <v>194</v>
      </c>
      <c r="C280" s="181"/>
      <c r="E280" s="388">
        <f ca="1">+'Resultados mensuales '!C34</f>
        <v>0</v>
      </c>
      <c r="F280" s="388">
        <f ca="1">+'Resultados mensuales '!D34</f>
        <v>0</v>
      </c>
      <c r="G280" s="388">
        <f ca="1">+'Resultados mensuales '!E34</f>
        <v>0</v>
      </c>
      <c r="H280" s="388">
        <f ca="1">+'Resultados mensuales '!F34</f>
        <v>0</v>
      </c>
      <c r="I280" s="388">
        <f ca="1">+'Resultados mensuales '!G34</f>
        <v>0</v>
      </c>
      <c r="J280" s="388">
        <f ca="1">+'Resultados mensuales '!H34</f>
        <v>0</v>
      </c>
      <c r="K280" s="117"/>
    </row>
    <row r="281" spans="2:14" ht="2.25" customHeight="1">
      <c r="B281" s="185"/>
      <c r="C281" s="181"/>
      <c r="E281" s="389"/>
      <c r="F281" s="389"/>
      <c r="G281" s="389"/>
      <c r="H281" s="389"/>
      <c r="I281" s="389"/>
      <c r="J281" s="389"/>
      <c r="K281" s="117"/>
    </row>
    <row r="282" spans="2:14" hidden="1">
      <c r="B282" s="180" t="s">
        <v>195</v>
      </c>
      <c r="C282" s="181"/>
      <c r="E282" s="374">
        <f ca="1">+'Resultados mensuales '!C37</f>
        <v>0</v>
      </c>
      <c r="F282" s="374">
        <f ca="1">+'Resultados mensuales '!D37</f>
        <v>0</v>
      </c>
      <c r="G282" s="374">
        <f ca="1">+'Resultados mensuales '!E37</f>
        <v>0</v>
      </c>
      <c r="H282" s="374">
        <f ca="1">+'Resultados mensuales '!F37</f>
        <v>0</v>
      </c>
      <c r="I282" s="374">
        <f ca="1">+'Resultados mensuales '!G37</f>
        <v>0</v>
      </c>
      <c r="J282" s="374">
        <f ca="1">+'Resultados mensuales '!H37</f>
        <v>0</v>
      </c>
      <c r="K282" s="117"/>
    </row>
    <row r="283" spans="2:14" ht="5.25" customHeight="1">
      <c r="B283" s="183"/>
      <c r="C283" s="181"/>
      <c r="E283" s="389"/>
      <c r="F283" s="389"/>
      <c r="G283" s="389"/>
      <c r="H283" s="389"/>
      <c r="I283" s="389"/>
      <c r="J283" s="389"/>
      <c r="K283" s="117"/>
    </row>
    <row r="284" spans="2:14" s="122" customFormat="1">
      <c r="B284" s="183" t="s">
        <v>196</v>
      </c>
      <c r="C284" s="186"/>
      <c r="D284" s="248"/>
      <c r="E284" s="372">
        <f ca="1">+'Resultados mensuales '!C39</f>
        <v>0</v>
      </c>
      <c r="F284" s="372">
        <f ca="1">+'Resultados mensuales '!D39</f>
        <v>0</v>
      </c>
      <c r="G284" s="372">
        <f ca="1">+'Resultados mensuales '!E39</f>
        <v>0</v>
      </c>
      <c r="H284" s="372">
        <f ca="1">+'Resultados mensuales '!F39</f>
        <v>0</v>
      </c>
      <c r="I284" s="372">
        <f ca="1">+'Resultados mensuales '!G39</f>
        <v>0</v>
      </c>
      <c r="J284" s="372">
        <f ca="1">+'Resultados mensuales '!H39</f>
        <v>0</v>
      </c>
    </row>
    <row r="285" spans="2:14" ht="6" customHeight="1">
      <c r="B285" s="180"/>
      <c r="C285" s="187"/>
      <c r="D285" s="187"/>
      <c r="E285" s="187"/>
      <c r="F285" s="187"/>
      <c r="G285" s="187"/>
      <c r="H285" s="187"/>
      <c r="I285" s="187"/>
      <c r="J285" s="187"/>
    </row>
    <row r="286" spans="2:14">
      <c r="B286" s="188"/>
      <c r="C286" s="181"/>
      <c r="D286" s="181"/>
      <c r="E286" s="181"/>
      <c r="F286" s="181"/>
      <c r="G286" s="181"/>
      <c r="H286" s="184"/>
      <c r="I286" s="184"/>
      <c r="J286" s="184"/>
      <c r="K286" s="152"/>
      <c r="L286" s="152"/>
      <c r="M286" s="152"/>
      <c r="N286" s="152"/>
    </row>
    <row r="287" spans="2:14">
      <c r="B287" s="188"/>
      <c r="C287" s="181"/>
      <c r="E287" s="182">
        <f>+'Resultados mensuales '!I2</f>
        <v>44378</v>
      </c>
      <c r="F287" s="182">
        <f>+'Resultados mensuales '!J2</f>
        <v>44409</v>
      </c>
      <c r="G287" s="182">
        <f>+'Resultados mensuales '!K2</f>
        <v>44440</v>
      </c>
      <c r="H287" s="182">
        <f>+'Resultados mensuales '!L2</f>
        <v>44470</v>
      </c>
      <c r="I287" s="182">
        <f>+'Resultados mensuales '!M2</f>
        <v>44501</v>
      </c>
      <c r="J287" s="182">
        <f>+'Resultados mensuales '!N2</f>
        <v>44531</v>
      </c>
      <c r="K287" s="152"/>
      <c r="L287" s="152"/>
      <c r="M287" s="152"/>
      <c r="N287" s="152"/>
    </row>
    <row r="288" spans="2:14">
      <c r="B288" s="188"/>
      <c r="C288" s="181"/>
      <c r="E288" s="181"/>
      <c r="F288" s="181"/>
      <c r="G288" s="181"/>
      <c r="H288" s="181"/>
      <c r="I288" s="181"/>
      <c r="J288" s="181"/>
      <c r="K288" s="152"/>
      <c r="L288" s="152"/>
      <c r="M288" s="152"/>
      <c r="N288" s="152"/>
    </row>
    <row r="289" spans="2:14">
      <c r="B289" s="183" t="str">
        <f>+B264</f>
        <v>Total Ventas</v>
      </c>
      <c r="C289" s="181"/>
      <c r="E289" s="372">
        <f>+'Resultados mensuales '!I4</f>
        <v>0</v>
      </c>
      <c r="F289" s="372">
        <f>+'Resultados mensuales '!J4</f>
        <v>0</v>
      </c>
      <c r="G289" s="372">
        <f>+'Resultados mensuales '!K4</f>
        <v>0</v>
      </c>
      <c r="H289" s="372">
        <f>+'Resultados mensuales '!L4</f>
        <v>0</v>
      </c>
      <c r="I289" s="372">
        <f>+'Resultados mensuales '!M4</f>
        <v>0</v>
      </c>
      <c r="J289" s="372">
        <f>+'Resultados mensuales '!N4</f>
        <v>0</v>
      </c>
      <c r="K289" s="152"/>
      <c r="L289" s="152"/>
      <c r="M289" s="152"/>
      <c r="N289" s="152"/>
    </row>
    <row r="290" spans="2:14">
      <c r="B290" s="180" t="str">
        <f t="shared" ref="B290:B303" si="16">+B265</f>
        <v>Coste de compra sin IVA</v>
      </c>
      <c r="C290" s="181"/>
      <c r="E290" s="374">
        <f>+'Resultados mensuales '!I5</f>
        <v>0</v>
      </c>
      <c r="F290" s="374">
        <f>+'Resultados mensuales '!J5</f>
        <v>0</v>
      </c>
      <c r="G290" s="374">
        <f>+'Resultados mensuales '!K5</f>
        <v>0</v>
      </c>
      <c r="H290" s="374">
        <f>+'Resultados mensuales '!L5</f>
        <v>0</v>
      </c>
      <c r="I290" s="374">
        <f>+'Resultados mensuales '!M5</f>
        <v>0</v>
      </c>
      <c r="J290" s="374">
        <f>+'Resultados mensuales '!N5</f>
        <v>0</v>
      </c>
      <c r="K290" s="152"/>
      <c r="L290" s="152"/>
      <c r="M290" s="152"/>
      <c r="N290" s="152"/>
    </row>
    <row r="291" spans="2:14" hidden="1">
      <c r="B291" s="180" t="str">
        <f t="shared" si="16"/>
        <v>Otros costes variables</v>
      </c>
      <c r="C291" s="181"/>
      <c r="E291" s="374">
        <f>+'Resultados mensuales '!I6</f>
        <v>0</v>
      </c>
      <c r="F291" s="374">
        <f>+'Resultados mensuales '!J6</f>
        <v>0</v>
      </c>
      <c r="G291" s="374">
        <f>+'Resultados mensuales '!K6</f>
        <v>0</v>
      </c>
      <c r="H291" s="374">
        <f>+'Resultados mensuales '!L6</f>
        <v>0</v>
      </c>
      <c r="I291" s="374">
        <f>+'Resultados mensuales '!M6</f>
        <v>0</v>
      </c>
      <c r="J291" s="374">
        <f>+'Resultados mensuales '!N6</f>
        <v>0</v>
      </c>
      <c r="K291" s="152"/>
      <c r="L291" s="152"/>
      <c r="M291" s="152"/>
      <c r="N291" s="152"/>
    </row>
    <row r="292" spans="2:14">
      <c r="B292" s="183" t="str">
        <f t="shared" si="16"/>
        <v>MARGEN BRUTO</v>
      </c>
      <c r="C292" s="181"/>
      <c r="E292" s="388">
        <f>+'Resultados mensuales '!I7</f>
        <v>0</v>
      </c>
      <c r="F292" s="388">
        <f>+'Resultados mensuales '!J7</f>
        <v>0</v>
      </c>
      <c r="G292" s="388">
        <f>+'Resultados mensuales '!K7</f>
        <v>0</v>
      </c>
      <c r="H292" s="388">
        <f>+'Resultados mensuales '!L7</f>
        <v>0</v>
      </c>
      <c r="I292" s="388">
        <f>+'Resultados mensuales '!M7</f>
        <v>0</v>
      </c>
      <c r="J292" s="388">
        <f>+'Resultados mensuales '!N7</f>
        <v>0</v>
      </c>
      <c r="K292" s="152"/>
      <c r="L292" s="152"/>
      <c r="M292" s="152"/>
      <c r="N292" s="152"/>
    </row>
    <row r="293" spans="2:14">
      <c r="B293" s="180">
        <f t="shared" si="16"/>
        <v>0</v>
      </c>
      <c r="C293" s="181"/>
      <c r="E293" s="389"/>
      <c r="F293" s="389"/>
      <c r="G293" s="389"/>
      <c r="H293" s="389"/>
      <c r="I293" s="389"/>
      <c r="J293" s="389"/>
      <c r="K293" s="152"/>
      <c r="L293" s="152"/>
      <c r="M293" s="152"/>
      <c r="N293" s="152"/>
    </row>
    <row r="294" spans="2:14">
      <c r="B294" s="185" t="str">
        <f t="shared" si="16"/>
        <v>Sueldos y salarios</v>
      </c>
      <c r="C294" s="181"/>
      <c r="E294" s="374">
        <f>+'Resultados mensuales '!I9</f>
        <v>0</v>
      </c>
      <c r="F294" s="374">
        <f>+'Resultados mensuales '!J9</f>
        <v>0</v>
      </c>
      <c r="G294" s="374">
        <f>+'Resultados mensuales '!K9</f>
        <v>0</v>
      </c>
      <c r="H294" s="374">
        <f>+'Resultados mensuales '!L9</f>
        <v>0</v>
      </c>
      <c r="I294" s="374">
        <f>+'Resultados mensuales '!M9</f>
        <v>0</v>
      </c>
      <c r="J294" s="374">
        <f>+'Resultados mensuales '!N9</f>
        <v>0</v>
      </c>
      <c r="K294" s="152"/>
      <c r="L294" s="152"/>
      <c r="M294" s="152"/>
      <c r="N294" s="152"/>
    </row>
    <row r="295" spans="2:14">
      <c r="B295" s="185" t="str">
        <f t="shared" si="16"/>
        <v>Seguridad social</v>
      </c>
      <c r="C295" s="181"/>
      <c r="E295" s="374">
        <f>+'Resultados mensuales '!I10</f>
        <v>0</v>
      </c>
      <c r="F295" s="374">
        <f>+'Resultados mensuales '!J10</f>
        <v>0</v>
      </c>
      <c r="G295" s="374">
        <f>+'Resultados mensuales '!K10</f>
        <v>0</v>
      </c>
      <c r="H295" s="374">
        <f>+'Resultados mensuales '!L10</f>
        <v>0</v>
      </c>
      <c r="I295" s="374">
        <f>+'Resultados mensuales '!M10</f>
        <v>0</v>
      </c>
      <c r="J295" s="374">
        <f>+'Resultados mensuales '!N10</f>
        <v>0</v>
      </c>
      <c r="K295" s="152"/>
      <c r="L295" s="152"/>
      <c r="M295" s="152"/>
      <c r="N295" s="152"/>
    </row>
    <row r="296" spans="2:14">
      <c r="B296" s="185" t="str">
        <f t="shared" si="16"/>
        <v>Publicidad</v>
      </c>
      <c r="C296" s="181"/>
      <c r="E296" s="374">
        <f>+'Resultados mensuales '!I11</f>
        <v>0</v>
      </c>
      <c r="F296" s="374">
        <f>+'Resultados mensuales '!J11</f>
        <v>0</v>
      </c>
      <c r="G296" s="374">
        <f>+'Resultados mensuales '!K11</f>
        <v>0</v>
      </c>
      <c r="H296" s="374">
        <f>+'Resultados mensuales '!L11</f>
        <v>0</v>
      </c>
      <c r="I296" s="374">
        <f>+'Resultados mensuales '!M11</f>
        <v>0</v>
      </c>
      <c r="J296" s="374">
        <f>+'Resultados mensuales '!N11</f>
        <v>0</v>
      </c>
      <c r="K296" s="152"/>
      <c r="L296" s="152"/>
      <c r="M296" s="152"/>
      <c r="N296" s="152"/>
    </row>
    <row r="297" spans="2:14">
      <c r="B297" s="185">
        <f t="shared" si="16"/>
        <v>0</v>
      </c>
      <c r="C297" s="181"/>
      <c r="E297" s="374">
        <f>+'Resultados mensuales '!I12</f>
        <v>0</v>
      </c>
      <c r="F297" s="374">
        <f>+'Resultados mensuales '!J12</f>
        <v>0</v>
      </c>
      <c r="G297" s="374">
        <f>+'Resultados mensuales '!K12</f>
        <v>0</v>
      </c>
      <c r="H297" s="374">
        <f>+'Resultados mensuales '!L12</f>
        <v>0</v>
      </c>
      <c r="I297" s="374">
        <f>+'Resultados mensuales '!M12</f>
        <v>0</v>
      </c>
      <c r="J297" s="374">
        <f>+'Resultados mensuales '!N12</f>
        <v>0</v>
      </c>
      <c r="K297" s="152"/>
      <c r="L297" s="152"/>
      <c r="M297" s="152"/>
      <c r="N297" s="152"/>
    </row>
    <row r="298" spans="2:14">
      <c r="B298" s="185">
        <f t="shared" si="16"/>
        <v>0</v>
      </c>
      <c r="C298" s="181"/>
      <c r="E298" s="374">
        <f>+'Resultados mensuales '!I13</f>
        <v>0</v>
      </c>
      <c r="F298" s="374">
        <f>+'Resultados mensuales '!J13</f>
        <v>0</v>
      </c>
      <c r="G298" s="374">
        <f>+'Resultados mensuales '!K13</f>
        <v>0</v>
      </c>
      <c r="H298" s="374">
        <f>+'Resultados mensuales '!L13</f>
        <v>0</v>
      </c>
      <c r="I298" s="374">
        <f>+'Resultados mensuales '!M13</f>
        <v>0</v>
      </c>
      <c r="J298" s="374">
        <f>+'Resultados mensuales '!N13</f>
        <v>0</v>
      </c>
      <c r="K298" s="152"/>
      <c r="L298" s="152"/>
      <c r="M298" s="152"/>
      <c r="N298" s="152"/>
    </row>
    <row r="299" spans="2:14">
      <c r="B299" s="185">
        <f t="shared" si="16"/>
        <v>0</v>
      </c>
      <c r="C299" s="181"/>
      <c r="E299" s="374">
        <f>+'Resultados mensuales '!I14</f>
        <v>0</v>
      </c>
      <c r="F299" s="374">
        <f>+'Resultados mensuales '!J14</f>
        <v>0</v>
      </c>
      <c r="G299" s="374">
        <f>+'Resultados mensuales '!K14</f>
        <v>0</v>
      </c>
      <c r="H299" s="374">
        <f>+'Resultados mensuales '!L14</f>
        <v>0</v>
      </c>
      <c r="I299" s="374">
        <f>+'Resultados mensuales '!M14</f>
        <v>0</v>
      </c>
      <c r="J299" s="374">
        <f>+'Resultados mensuales '!N14</f>
        <v>0</v>
      </c>
      <c r="K299" s="152"/>
      <c r="L299" s="152"/>
      <c r="M299" s="152"/>
      <c r="N299" s="152"/>
    </row>
    <row r="300" spans="2:14">
      <c r="B300" s="185" t="str">
        <f t="shared" si="16"/>
        <v>Otros costes fijos</v>
      </c>
      <c r="C300" s="181"/>
      <c r="E300" s="374">
        <f>SUM('Resultados mensuales '!I15:I29)</f>
        <v>0</v>
      </c>
      <c r="F300" s="374">
        <f>SUM('Resultados mensuales '!J15:J29)</f>
        <v>0</v>
      </c>
      <c r="G300" s="374">
        <f>SUM('Resultados mensuales '!K15:K29)</f>
        <v>0</v>
      </c>
      <c r="H300" s="374">
        <f>SUM('Resultados mensuales '!L15:L29)</f>
        <v>0</v>
      </c>
      <c r="I300" s="374">
        <f>SUM('Resultados mensuales '!M15:M29)</f>
        <v>0</v>
      </c>
      <c r="J300" s="374">
        <f>SUM('Resultados mensuales '!N15:N29)</f>
        <v>0</v>
      </c>
      <c r="K300" s="152"/>
      <c r="L300" s="152"/>
      <c r="M300" s="152"/>
      <c r="N300" s="152"/>
    </row>
    <row r="301" spans="2:14">
      <c r="B301" s="185" t="str">
        <f t="shared" si="16"/>
        <v>Amortizaciones</v>
      </c>
      <c r="C301" s="181"/>
      <c r="E301" s="374">
        <f ca="1">+'Resultados mensuales '!I30</f>
        <v>0</v>
      </c>
      <c r="F301" s="374">
        <f ca="1">+'Resultados mensuales '!J30</f>
        <v>0</v>
      </c>
      <c r="G301" s="374">
        <f ca="1">+'Resultados mensuales '!K30</f>
        <v>0</v>
      </c>
      <c r="H301" s="374">
        <f ca="1">+'Resultados mensuales '!L30</f>
        <v>0</v>
      </c>
      <c r="I301" s="374">
        <f ca="1">+'Resultados mensuales '!M30</f>
        <v>0</v>
      </c>
      <c r="J301" s="374">
        <f ca="1">+'Resultados mensuales '!N30</f>
        <v>0</v>
      </c>
      <c r="K301" s="152"/>
      <c r="L301" s="152"/>
      <c r="M301" s="152"/>
      <c r="N301" s="152"/>
    </row>
    <row r="302" spans="2:14">
      <c r="B302" s="185" t="str">
        <f t="shared" si="16"/>
        <v>Provisiones</v>
      </c>
      <c r="C302" s="181"/>
      <c r="E302" s="374">
        <f>+'Resultados mensuales '!I31</f>
        <v>0</v>
      </c>
      <c r="F302" s="374">
        <f>+'Resultados mensuales '!J31</f>
        <v>0</v>
      </c>
      <c r="G302" s="374">
        <f>+'Resultados mensuales '!K31</f>
        <v>0</v>
      </c>
      <c r="H302" s="374">
        <f>+'Resultados mensuales '!L31</f>
        <v>0</v>
      </c>
      <c r="I302" s="374">
        <f>+'Resultados mensuales '!M31</f>
        <v>0</v>
      </c>
      <c r="J302" s="374">
        <f>+'Resultados mensuales '!N31</f>
        <v>0</v>
      </c>
      <c r="K302" s="152"/>
      <c r="L302" s="152"/>
      <c r="M302" s="152"/>
      <c r="N302" s="152"/>
    </row>
    <row r="303" spans="2:14">
      <c r="B303" s="180" t="str">
        <f t="shared" si="16"/>
        <v>TOTAL GASTOS DE EXPLOTACIÓN</v>
      </c>
      <c r="C303" s="181"/>
      <c r="E303" s="374">
        <f ca="1">+'Resultados mensuales '!I32</f>
        <v>0</v>
      </c>
      <c r="F303" s="374">
        <f ca="1">+'Resultados mensuales '!J32</f>
        <v>0</v>
      </c>
      <c r="G303" s="374">
        <f ca="1">+'Resultados mensuales '!K32</f>
        <v>0</v>
      </c>
      <c r="H303" s="374">
        <f ca="1">+'Resultados mensuales '!L32</f>
        <v>0</v>
      </c>
      <c r="I303" s="374">
        <f ca="1">+'Resultados mensuales '!M32</f>
        <v>0</v>
      </c>
      <c r="J303" s="374">
        <f ca="1">+'Resultados mensuales '!N32</f>
        <v>0</v>
      </c>
      <c r="K303" s="152"/>
      <c r="L303" s="152"/>
      <c r="M303" s="152"/>
      <c r="N303" s="152"/>
    </row>
    <row r="304" spans="2:14">
      <c r="B304" s="183" t="str">
        <f>+B280</f>
        <v>RESULTADO DE EXPLOTACIÓN</v>
      </c>
      <c r="C304" s="181"/>
      <c r="E304" s="388">
        <f ca="1">+'Resultados mensuales '!I34</f>
        <v>0</v>
      </c>
      <c r="F304" s="388">
        <f ca="1">+'Resultados mensuales '!J34</f>
        <v>0</v>
      </c>
      <c r="G304" s="388">
        <f ca="1">+'Resultados mensuales '!K34</f>
        <v>0</v>
      </c>
      <c r="H304" s="388">
        <f ca="1">+'Resultados mensuales '!L34</f>
        <v>0</v>
      </c>
      <c r="I304" s="388">
        <f ca="1">+'Resultados mensuales '!M34</f>
        <v>0</v>
      </c>
      <c r="J304" s="388">
        <f ca="1">+'Resultados mensuales '!N34</f>
        <v>0</v>
      </c>
      <c r="K304" s="152"/>
      <c r="L304" s="152"/>
      <c r="M304" s="152"/>
      <c r="N304" s="152"/>
    </row>
    <row r="305" spans="2:14" ht="6.75" customHeight="1">
      <c r="B305" s="180"/>
      <c r="C305" s="181"/>
      <c r="E305" s="389"/>
      <c r="F305" s="389"/>
      <c r="G305" s="389"/>
      <c r="H305" s="389"/>
      <c r="I305" s="389"/>
      <c r="J305" s="389"/>
      <c r="K305" s="152"/>
      <c r="L305" s="152"/>
      <c r="M305" s="152"/>
      <c r="N305" s="152"/>
    </row>
    <row r="306" spans="2:14" hidden="1">
      <c r="B306" s="185" t="str">
        <f>+B282</f>
        <v>Intereses préstamos</v>
      </c>
      <c r="C306" s="181"/>
      <c r="E306" s="374">
        <f ca="1">+'Resultados mensuales '!I37</f>
        <v>0</v>
      </c>
      <c r="F306" s="374">
        <f ca="1">+'Resultados mensuales '!J37</f>
        <v>0</v>
      </c>
      <c r="G306" s="374">
        <f ca="1">+'Resultados mensuales '!K37</f>
        <v>0</v>
      </c>
      <c r="H306" s="374">
        <f ca="1">+'Resultados mensuales '!L37</f>
        <v>0</v>
      </c>
      <c r="I306" s="374">
        <f ca="1">+'Resultados mensuales '!M37</f>
        <v>0</v>
      </c>
      <c r="J306" s="374">
        <f ca="1">+'Resultados mensuales '!N37</f>
        <v>0</v>
      </c>
      <c r="K306" s="152"/>
      <c r="L306" s="152"/>
      <c r="M306" s="152"/>
      <c r="N306" s="152"/>
    </row>
    <row r="307" spans="2:14" ht="5.25" customHeight="1">
      <c r="B307" s="180"/>
      <c r="C307" s="181"/>
      <c r="E307" s="389"/>
      <c r="F307" s="389"/>
      <c r="G307" s="389"/>
      <c r="H307" s="389"/>
      <c r="I307" s="389"/>
      <c r="J307" s="389"/>
      <c r="K307" s="152"/>
      <c r="L307" s="152"/>
      <c r="M307" s="152"/>
      <c r="N307" s="152"/>
    </row>
    <row r="308" spans="2:14">
      <c r="B308" s="183" t="str">
        <f>+B284</f>
        <v>RESULTADOS ANTES IMPUESTOS</v>
      </c>
      <c r="C308" s="181"/>
      <c r="E308" s="372">
        <f ca="1">+'Resultados mensuales '!I39</f>
        <v>0</v>
      </c>
      <c r="F308" s="372">
        <f ca="1">+'Resultados mensuales '!J39</f>
        <v>0</v>
      </c>
      <c r="G308" s="372">
        <f ca="1">+'Resultados mensuales '!K39</f>
        <v>0</v>
      </c>
      <c r="H308" s="372">
        <f ca="1">+'Resultados mensuales '!L39</f>
        <v>0</v>
      </c>
      <c r="I308" s="372">
        <f ca="1">+'Resultados mensuales '!M39</f>
        <v>0</v>
      </c>
      <c r="J308" s="372">
        <f ca="1">+'Resultados mensuales '!N39</f>
        <v>0</v>
      </c>
      <c r="K308" s="152"/>
      <c r="L308" s="152"/>
      <c r="M308" s="152"/>
      <c r="N308" s="152"/>
    </row>
    <row r="309" spans="2:14" ht="18.75" customHeight="1">
      <c r="B309" s="188"/>
      <c r="C309" s="181"/>
      <c r="D309" s="181"/>
      <c r="E309" s="181"/>
      <c r="F309" s="181"/>
      <c r="G309" s="181"/>
      <c r="H309" s="184"/>
      <c r="I309" s="184"/>
      <c r="J309" s="184"/>
      <c r="K309" s="152"/>
      <c r="L309" s="152"/>
      <c r="M309" s="152"/>
      <c r="N309" s="152"/>
    </row>
    <row r="310" spans="2:14" ht="36.75" customHeight="1">
      <c r="B310" s="188" t="s">
        <v>308</v>
      </c>
      <c r="C310" s="181"/>
      <c r="D310" s="181"/>
      <c r="E310" s="181"/>
      <c r="F310" s="181"/>
      <c r="G310" s="181"/>
      <c r="H310" s="184"/>
      <c r="I310" s="184"/>
      <c r="J310" s="184"/>
      <c r="K310" s="152"/>
      <c r="L310" s="152"/>
      <c r="M310" s="152"/>
      <c r="N310" s="152"/>
    </row>
    <row r="311" spans="2:14">
      <c r="B311" s="188"/>
      <c r="C311" s="181"/>
      <c r="D311" s="181"/>
      <c r="E311" s="181"/>
      <c r="F311" s="181"/>
      <c r="G311" s="181"/>
      <c r="H311" s="184"/>
      <c r="I311" s="184"/>
      <c r="J311" s="184"/>
      <c r="K311" s="152"/>
      <c r="L311" s="152"/>
      <c r="M311" s="152"/>
      <c r="N311" s="152"/>
    </row>
    <row r="312" spans="2:14">
      <c r="B312" s="14"/>
      <c r="C312" s="219">
        <f>+Resultados!C2</f>
        <v>2021</v>
      </c>
      <c r="D312" s="219"/>
      <c r="E312" s="219">
        <f>+Resultados!E2</f>
        <v>2022</v>
      </c>
      <c r="F312" s="219"/>
      <c r="G312" s="219">
        <f>+Resultados!G2</f>
        <v>2023</v>
      </c>
      <c r="H312" s="184"/>
      <c r="I312" s="184"/>
      <c r="J312" s="184"/>
      <c r="K312" s="152"/>
      <c r="L312" s="152"/>
      <c r="M312" s="152"/>
      <c r="N312" s="152"/>
    </row>
    <row r="313" spans="2:14">
      <c r="B313" s="14"/>
      <c r="C313" s="14"/>
      <c r="D313" s="14"/>
      <c r="E313" s="14"/>
      <c r="F313" s="219"/>
      <c r="G313" s="14"/>
      <c r="H313" s="184"/>
      <c r="I313" s="184"/>
      <c r="J313" s="184"/>
      <c r="K313" s="152"/>
      <c r="L313" s="152"/>
      <c r="M313" s="152"/>
      <c r="N313" s="152"/>
    </row>
    <row r="314" spans="2:14">
      <c r="B314" s="14" t="str">
        <f>+Resultados!B4</f>
        <v>Ventas</v>
      </c>
      <c r="C314" s="390">
        <f>+Resultados!C4</f>
        <v>0</v>
      </c>
      <c r="D314" s="391" t="str">
        <f>+Resultados!D4</f>
        <v/>
      </c>
      <c r="E314" s="390">
        <f>+Resultados!E4</f>
        <v>0</v>
      </c>
      <c r="F314" s="391" t="str">
        <f>+Resultados!F4</f>
        <v/>
      </c>
      <c r="G314" s="390">
        <f>+Resultados!G4</f>
        <v>0</v>
      </c>
      <c r="H314" s="391" t="str">
        <f>+Resultados!H4</f>
        <v/>
      </c>
      <c r="I314" s="184"/>
      <c r="J314" s="184"/>
      <c r="K314" s="152"/>
      <c r="L314" s="152"/>
      <c r="M314" s="152"/>
      <c r="N314" s="152"/>
    </row>
    <row r="315" spans="2:14">
      <c r="B315" s="14" t="str">
        <f>+Resultados!B5</f>
        <v>Coste de compra sin IVA</v>
      </c>
      <c r="C315" s="390">
        <f>+Resultados!C5</f>
        <v>0</v>
      </c>
      <c r="D315" s="392" t="str">
        <f>+Resultados!D5</f>
        <v/>
      </c>
      <c r="E315" s="390">
        <f>+Resultados!E5</f>
        <v>0</v>
      </c>
      <c r="F315" s="392" t="str">
        <f>+Resultados!F5</f>
        <v/>
      </c>
      <c r="G315" s="390">
        <f>+Resultados!G5</f>
        <v>0</v>
      </c>
      <c r="H315" s="392" t="str">
        <f>+Resultados!H5</f>
        <v/>
      </c>
      <c r="I315" s="184"/>
      <c r="J315" s="184"/>
      <c r="K315" s="152"/>
      <c r="L315" s="152"/>
      <c r="M315" s="152"/>
      <c r="N315" s="152"/>
    </row>
    <row r="316" spans="2:14" hidden="1">
      <c r="B316" s="14" t="str">
        <f>+Resultados!B6</f>
        <v>Otros costes variables</v>
      </c>
      <c r="C316" s="390">
        <f>+Resultados!C6</f>
        <v>0</v>
      </c>
      <c r="D316" s="392" t="str">
        <f>+Resultados!D6</f>
        <v/>
      </c>
      <c r="E316" s="390">
        <f>+Resultados!E6</f>
        <v>0</v>
      </c>
      <c r="F316" s="392" t="str">
        <f>+Resultados!F6</f>
        <v/>
      </c>
      <c r="G316" s="390">
        <f>+Resultados!G6</f>
        <v>0</v>
      </c>
      <c r="H316" s="392" t="str">
        <f>+Resultados!H6</f>
        <v/>
      </c>
      <c r="I316" s="184"/>
      <c r="J316" s="184"/>
      <c r="K316" s="152"/>
      <c r="L316" s="152"/>
      <c r="M316" s="152"/>
      <c r="N316" s="152"/>
    </row>
    <row r="317" spans="2:14" ht="9.75" customHeight="1">
      <c r="B317" s="16"/>
      <c r="C317" s="157"/>
      <c r="D317" s="393"/>
      <c r="E317" s="157"/>
      <c r="F317" s="393"/>
      <c r="G317" s="157"/>
      <c r="H317" s="393"/>
      <c r="I317" s="184"/>
      <c r="J317" s="184"/>
      <c r="K317" s="152"/>
      <c r="L317" s="152"/>
      <c r="M317" s="152"/>
      <c r="N317" s="152"/>
    </row>
    <row r="318" spans="2:14">
      <c r="B318" s="104" t="str">
        <f>+Resultados!B8</f>
        <v>Margen bruto</v>
      </c>
      <c r="C318" s="394">
        <f>+Resultados!C8</f>
        <v>0</v>
      </c>
      <c r="D318" s="391" t="str">
        <f>+Resultados!D8</f>
        <v/>
      </c>
      <c r="E318" s="394">
        <f>+Resultados!E8</f>
        <v>0</v>
      </c>
      <c r="F318" s="391" t="str">
        <f>+Resultados!F8</f>
        <v/>
      </c>
      <c r="G318" s="394">
        <f>+Resultados!G8</f>
        <v>0</v>
      </c>
      <c r="H318" s="391" t="str">
        <f>+Resultados!H8</f>
        <v/>
      </c>
      <c r="I318" s="184"/>
      <c r="J318" s="184"/>
      <c r="K318" s="152"/>
      <c r="L318" s="152"/>
      <c r="M318" s="152"/>
      <c r="N318" s="152"/>
    </row>
    <row r="319" spans="2:14" ht="9.75" customHeight="1">
      <c r="B319" s="76"/>
      <c r="C319" s="157"/>
      <c r="D319" s="157"/>
      <c r="E319" s="157"/>
      <c r="F319" s="157"/>
      <c r="G319" s="157"/>
      <c r="H319" s="157"/>
      <c r="I319" s="184"/>
      <c r="J319" s="184"/>
      <c r="K319" s="152"/>
      <c r="L319" s="152"/>
      <c r="M319" s="152"/>
      <c r="N319" s="152"/>
    </row>
    <row r="320" spans="2:14">
      <c r="B320" s="76" t="str">
        <f>+Resultados!B10</f>
        <v>Sueldos y salarios</v>
      </c>
      <c r="C320" s="390">
        <f>+Resultados!C10</f>
        <v>0</v>
      </c>
      <c r="D320" s="392" t="str">
        <f>+Resultados!D10</f>
        <v/>
      </c>
      <c r="E320" s="390">
        <f>+Resultados!E10</f>
        <v>0</v>
      </c>
      <c r="F320" s="392" t="str">
        <f>+Resultados!F10</f>
        <v/>
      </c>
      <c r="G320" s="390">
        <f>+Resultados!G10</f>
        <v>0</v>
      </c>
      <c r="H320" s="392" t="str">
        <f>+Resultados!H10</f>
        <v/>
      </c>
      <c r="I320" s="184"/>
      <c r="J320" s="184"/>
      <c r="K320" s="152"/>
      <c r="L320" s="152"/>
      <c r="M320" s="152"/>
      <c r="N320" s="152"/>
    </row>
    <row r="321" spans="2:14">
      <c r="B321" s="76" t="str">
        <f>+Resultados!B11</f>
        <v>Seguridad social</v>
      </c>
      <c r="C321" s="390">
        <f>+Resultados!C11</f>
        <v>0</v>
      </c>
      <c r="D321" s="392" t="str">
        <f>+Resultados!D11</f>
        <v/>
      </c>
      <c r="E321" s="390">
        <f>+Resultados!E11</f>
        <v>0</v>
      </c>
      <c r="F321" s="392" t="str">
        <f>+Resultados!F11</f>
        <v/>
      </c>
      <c r="G321" s="390">
        <f>+Resultados!G11</f>
        <v>0</v>
      </c>
      <c r="H321" s="392" t="str">
        <f>+Resultados!H11</f>
        <v/>
      </c>
      <c r="I321" s="184"/>
      <c r="J321" s="184"/>
      <c r="K321" s="152"/>
      <c r="L321" s="152"/>
      <c r="M321" s="152"/>
      <c r="N321" s="152"/>
    </row>
    <row r="322" spans="2:14">
      <c r="B322" s="76" t="str">
        <f>+Resultados!B12</f>
        <v>Publicidad</v>
      </c>
      <c r="C322" s="390">
        <f>+Resultados!C12</f>
        <v>0</v>
      </c>
      <c r="D322" s="392" t="str">
        <f>+Resultados!D12</f>
        <v/>
      </c>
      <c r="E322" s="390">
        <f>+Resultados!E12</f>
        <v>0</v>
      </c>
      <c r="F322" s="392" t="str">
        <f>+Resultados!F12</f>
        <v/>
      </c>
      <c r="G322" s="390">
        <f>+Resultados!G12</f>
        <v>0</v>
      </c>
      <c r="H322" s="392" t="str">
        <f>+Resultados!H12</f>
        <v/>
      </c>
      <c r="I322" s="184"/>
      <c r="J322" s="184"/>
      <c r="K322" s="152"/>
      <c r="L322" s="152"/>
      <c r="M322" s="152"/>
      <c r="N322" s="152"/>
    </row>
    <row r="323" spans="2:14">
      <c r="B323" s="76">
        <f>+Resultados!B13</f>
        <v>0</v>
      </c>
      <c r="C323" s="390">
        <f>+Resultados!C13</f>
        <v>0</v>
      </c>
      <c r="D323" s="392" t="str">
        <f>+Resultados!D13</f>
        <v/>
      </c>
      <c r="E323" s="390">
        <f>+Resultados!E13</f>
        <v>0</v>
      </c>
      <c r="F323" s="392" t="str">
        <f>+Resultados!F13</f>
        <v/>
      </c>
      <c r="G323" s="390">
        <f>+Resultados!G13</f>
        <v>0</v>
      </c>
      <c r="H323" s="392" t="str">
        <f>+Resultados!H13</f>
        <v/>
      </c>
      <c r="I323" s="184"/>
      <c r="J323" s="184"/>
      <c r="K323" s="152"/>
      <c r="L323" s="152"/>
      <c r="M323" s="152"/>
      <c r="N323" s="152"/>
    </row>
    <row r="324" spans="2:14">
      <c r="B324" s="76">
        <f>+Resultados!B14</f>
        <v>0</v>
      </c>
      <c r="C324" s="390">
        <f>+Resultados!C14</f>
        <v>0</v>
      </c>
      <c r="D324" s="392" t="str">
        <f>+Resultados!D14</f>
        <v/>
      </c>
      <c r="E324" s="390">
        <f>+Resultados!E14</f>
        <v>0</v>
      </c>
      <c r="F324" s="392" t="str">
        <f>+Resultados!F14</f>
        <v/>
      </c>
      <c r="G324" s="390">
        <f>+Resultados!G14</f>
        <v>0</v>
      </c>
      <c r="H324" s="392" t="str">
        <f>+Resultados!H14</f>
        <v/>
      </c>
      <c r="I324" s="184"/>
      <c r="J324" s="184"/>
      <c r="K324" s="152"/>
      <c r="L324" s="152"/>
      <c r="M324" s="152"/>
      <c r="N324" s="152"/>
    </row>
    <row r="325" spans="2:14">
      <c r="B325" s="76">
        <f>+Resultados!B15</f>
        <v>0</v>
      </c>
      <c r="C325" s="390">
        <f>+Resultados!C15</f>
        <v>0</v>
      </c>
      <c r="D325" s="392" t="str">
        <f>+Resultados!D15</f>
        <v/>
      </c>
      <c r="E325" s="390">
        <f>+Resultados!E15</f>
        <v>0</v>
      </c>
      <c r="F325" s="392" t="str">
        <f>+Resultados!F15</f>
        <v/>
      </c>
      <c r="G325" s="390">
        <f>+Resultados!G15</f>
        <v>0</v>
      </c>
      <c r="H325" s="392" t="str">
        <f>+Resultados!H15</f>
        <v/>
      </c>
      <c r="I325" s="184"/>
      <c r="J325" s="184"/>
      <c r="K325" s="152"/>
      <c r="L325" s="152"/>
      <c r="M325" s="152"/>
      <c r="N325" s="152"/>
    </row>
    <row r="326" spans="2:14" hidden="1">
      <c r="B326" s="76" t="str">
        <f>+Resultados!B16</f>
        <v>Otros costes fijos</v>
      </c>
      <c r="C326" s="390">
        <f>+Resultados!C16</f>
        <v>0</v>
      </c>
      <c r="D326" s="392" t="str">
        <f>+Resultados!D16</f>
        <v/>
      </c>
      <c r="E326" s="390">
        <f>+Resultados!E16</f>
        <v>0</v>
      </c>
      <c r="F326" s="392" t="str">
        <f>+Resultados!F16</f>
        <v/>
      </c>
      <c r="G326" s="390">
        <f>+Resultados!G16</f>
        <v>0</v>
      </c>
      <c r="H326" s="392" t="str">
        <f>+Resultados!H16</f>
        <v/>
      </c>
      <c r="I326" s="184"/>
      <c r="J326" s="184"/>
      <c r="K326" s="152"/>
      <c r="L326" s="152"/>
      <c r="M326" s="152"/>
      <c r="N326" s="152"/>
    </row>
    <row r="327" spans="2:14">
      <c r="B327" s="76" t="str">
        <f>+Resultados!B17</f>
        <v>Amortización</v>
      </c>
      <c r="C327" s="390">
        <f ca="1">+Resultados!C17</f>
        <v>0</v>
      </c>
      <c r="D327" s="392" t="str">
        <f ca="1">+Resultados!D17</f>
        <v/>
      </c>
      <c r="E327" s="390">
        <f ca="1">+Resultados!E17</f>
        <v>0</v>
      </c>
      <c r="F327" s="392" t="str">
        <f ca="1">+Resultados!F17</f>
        <v/>
      </c>
      <c r="G327" s="390">
        <f ca="1">+Resultados!G17</f>
        <v>0</v>
      </c>
      <c r="H327" s="392" t="str">
        <f ca="1">+Resultados!H17</f>
        <v/>
      </c>
      <c r="I327" s="184"/>
      <c r="J327" s="184"/>
      <c r="K327" s="152"/>
      <c r="L327" s="152"/>
      <c r="M327" s="152"/>
      <c r="N327" s="152"/>
    </row>
    <row r="328" spans="2:14">
      <c r="B328" s="76" t="str">
        <f>+Resultados!B18</f>
        <v>Provisiones</v>
      </c>
      <c r="C328" s="390">
        <f>+Resultados!C18</f>
        <v>0</v>
      </c>
      <c r="D328" s="392" t="str">
        <f>+Resultados!D18</f>
        <v/>
      </c>
      <c r="E328" s="390">
        <f>+Resultados!E18</f>
        <v>0</v>
      </c>
      <c r="F328" s="392" t="str">
        <f>+Resultados!F18</f>
        <v/>
      </c>
      <c r="G328" s="390">
        <f>+Resultados!G18</f>
        <v>0</v>
      </c>
      <c r="H328" s="392" t="str">
        <f>+Resultados!H18</f>
        <v/>
      </c>
      <c r="I328" s="184"/>
      <c r="J328" s="184"/>
      <c r="K328" s="152"/>
      <c r="L328" s="152"/>
      <c r="M328" s="152"/>
      <c r="N328" s="152"/>
    </row>
    <row r="329" spans="2:14">
      <c r="B329" s="76" t="str">
        <f>+Resultados!B19</f>
        <v>Gastos financieros</v>
      </c>
      <c r="C329" s="390">
        <f ca="1">+Resultados!C19</f>
        <v>0</v>
      </c>
      <c r="D329" s="392" t="str">
        <f ca="1">+Resultados!D19</f>
        <v/>
      </c>
      <c r="E329" s="390">
        <f ca="1">+Resultados!E19</f>
        <v>0</v>
      </c>
      <c r="F329" s="392" t="str">
        <f ca="1">+Resultados!F19</f>
        <v/>
      </c>
      <c r="G329" s="390">
        <f ca="1">+Resultados!G19</f>
        <v>0</v>
      </c>
      <c r="H329" s="392" t="str">
        <f ca="1">+Resultados!H19</f>
        <v/>
      </c>
      <c r="I329" s="184"/>
      <c r="J329" s="184"/>
      <c r="K329" s="152"/>
      <c r="L329" s="152"/>
      <c r="M329" s="152"/>
      <c r="N329" s="152"/>
    </row>
    <row r="330" spans="2:14" ht="9.75" customHeight="1">
      <c r="B330" s="14"/>
      <c r="C330" s="157"/>
      <c r="D330" s="157"/>
      <c r="E330" s="157"/>
      <c r="F330" s="157"/>
      <c r="G330" s="157"/>
      <c r="H330" s="157"/>
      <c r="I330" s="184"/>
      <c r="J330" s="184"/>
      <c r="K330" s="152"/>
      <c r="L330" s="152"/>
      <c r="M330" s="152"/>
      <c r="N330" s="152"/>
    </row>
    <row r="331" spans="2:14">
      <c r="B331" s="104" t="str">
        <f>+Resultados!B21</f>
        <v>Resultado antes impuestos</v>
      </c>
      <c r="C331" s="394">
        <f ca="1">+Resultados!C21</f>
        <v>0</v>
      </c>
      <c r="D331" s="391" t="str">
        <f ca="1">+Resultados!D21</f>
        <v/>
      </c>
      <c r="E331" s="394">
        <f ca="1">+Resultados!E21</f>
        <v>0</v>
      </c>
      <c r="F331" s="391" t="str">
        <f ca="1">+Resultados!F21</f>
        <v/>
      </c>
      <c r="G331" s="394">
        <f ca="1">+Resultados!G21</f>
        <v>0</v>
      </c>
      <c r="H331" s="391" t="str">
        <f ca="1">+Resultados!H21</f>
        <v/>
      </c>
      <c r="I331" s="184"/>
      <c r="J331" s="184"/>
      <c r="K331" s="152"/>
      <c r="L331" s="152"/>
      <c r="M331" s="152"/>
      <c r="N331" s="152"/>
    </row>
    <row r="332" spans="2:14" ht="9.75" customHeight="1">
      <c r="B332" s="14"/>
      <c r="C332" s="157"/>
      <c r="D332" s="157"/>
      <c r="E332" s="157"/>
      <c r="F332" s="157"/>
      <c r="G332" s="157"/>
      <c r="H332" s="157"/>
      <c r="I332" s="184"/>
      <c r="J332" s="184"/>
      <c r="K332" s="152"/>
      <c r="L332" s="152"/>
      <c r="M332" s="152"/>
      <c r="N332" s="152"/>
    </row>
    <row r="333" spans="2:14">
      <c r="B333" s="76" t="str">
        <f>+Resultados!B23</f>
        <v>Impuestos</v>
      </c>
      <c r="C333" s="158">
        <f ca="1">+Resultados!C23</f>
        <v>0</v>
      </c>
      <c r="D333" s="157"/>
      <c r="E333" s="158">
        <f ca="1">+Resultados!E23</f>
        <v>0</v>
      </c>
      <c r="F333" s="157"/>
      <c r="G333" s="158">
        <f ca="1">+Resultados!G23</f>
        <v>0</v>
      </c>
      <c r="H333" s="157"/>
      <c r="I333" s="184"/>
      <c r="J333" s="184"/>
      <c r="K333" s="152"/>
      <c r="L333" s="152"/>
      <c r="M333" s="152"/>
      <c r="N333" s="152"/>
    </row>
    <row r="334" spans="2:14" ht="9.75" customHeight="1">
      <c r="B334" s="14"/>
      <c r="C334" s="157"/>
      <c r="D334" s="157"/>
      <c r="E334" s="157"/>
      <c r="F334" s="157"/>
      <c r="G334" s="157"/>
      <c r="H334" s="157"/>
      <c r="I334" s="184"/>
      <c r="J334" s="184"/>
      <c r="K334" s="152"/>
      <c r="L334" s="152"/>
      <c r="M334" s="152"/>
      <c r="N334" s="152"/>
    </row>
    <row r="335" spans="2:14">
      <c r="B335" s="104" t="str">
        <f>+Resultados!B25</f>
        <v>Resultado después impuestos</v>
      </c>
      <c r="C335" s="394">
        <f ca="1">+Resultados!C25</f>
        <v>0</v>
      </c>
      <c r="D335" s="391" t="str">
        <f ca="1">+Resultados!D25</f>
        <v/>
      </c>
      <c r="E335" s="394">
        <f ca="1">+Resultados!E25</f>
        <v>0</v>
      </c>
      <c r="F335" s="391" t="str">
        <f ca="1">+Resultados!F25</f>
        <v/>
      </c>
      <c r="G335" s="394">
        <f ca="1">+Resultados!G25</f>
        <v>0</v>
      </c>
      <c r="H335" s="391" t="str">
        <f ca="1">+Resultados!H25</f>
        <v/>
      </c>
      <c r="I335" s="184"/>
      <c r="J335" s="184"/>
      <c r="K335" s="152"/>
      <c r="L335" s="152"/>
      <c r="M335" s="152"/>
      <c r="N335" s="152"/>
    </row>
    <row r="336" spans="2:14" ht="9.75" customHeight="1" thickBot="1">
      <c r="B336" s="14"/>
      <c r="C336" s="157"/>
      <c r="D336" s="157"/>
      <c r="E336" s="157"/>
      <c r="F336" s="157"/>
      <c r="G336" s="157"/>
      <c r="H336" s="157"/>
      <c r="I336" s="184"/>
      <c r="J336" s="184"/>
      <c r="K336" s="152"/>
      <c r="L336" s="152"/>
      <c r="M336" s="152"/>
      <c r="N336" s="152"/>
    </row>
    <row r="337" spans="2:14" ht="19.5" thickBot="1">
      <c r="B337" s="104" t="str">
        <f>+Resultados!B27</f>
        <v>Punto de equilibrio</v>
      </c>
      <c r="C337" s="161">
        <f ca="1">+Resultados!C27</f>
        <v>0</v>
      </c>
      <c r="D337" s="157"/>
      <c r="E337" s="161">
        <f ca="1">+Resultados!E27</f>
        <v>0</v>
      </c>
      <c r="F337" s="157"/>
      <c r="G337" s="161">
        <f ca="1">+Resultados!G27</f>
        <v>0</v>
      </c>
      <c r="H337" s="157"/>
      <c r="I337" s="184"/>
      <c r="J337" s="184"/>
      <c r="K337" s="152"/>
      <c r="L337" s="152"/>
      <c r="M337" s="152"/>
      <c r="N337" s="152"/>
    </row>
    <row r="338" spans="2:14">
      <c r="B338" s="188"/>
      <c r="C338" s="181"/>
      <c r="D338" s="181"/>
      <c r="E338" s="181"/>
      <c r="F338" s="181"/>
      <c r="G338" s="181"/>
      <c r="H338" s="184"/>
      <c r="I338" s="184"/>
      <c r="J338" s="184"/>
      <c r="K338" s="152"/>
      <c r="L338" s="152"/>
      <c r="M338" s="152"/>
      <c r="N338" s="152"/>
    </row>
    <row r="339" spans="2:14" ht="6" customHeight="1">
      <c r="B339" s="188"/>
      <c r="C339" s="181"/>
      <c r="D339" s="181"/>
      <c r="E339" s="181"/>
      <c r="F339" s="181"/>
      <c r="G339" s="181"/>
      <c r="H339" s="184"/>
      <c r="I339" s="184"/>
      <c r="J339" s="184"/>
      <c r="K339" s="152"/>
      <c r="L339" s="152"/>
      <c r="M339" s="152"/>
      <c r="N339" s="152"/>
    </row>
    <row r="340" spans="2:14" ht="6" customHeight="1">
      <c r="B340" s="188"/>
      <c r="C340" s="181"/>
      <c r="D340" s="181"/>
      <c r="E340" s="181"/>
      <c r="F340" s="181"/>
      <c r="G340" s="181"/>
      <c r="H340" s="184"/>
      <c r="I340" s="184"/>
      <c r="J340" s="184"/>
      <c r="K340" s="152"/>
      <c r="L340" s="152"/>
      <c r="M340" s="152"/>
      <c r="N340" s="152"/>
    </row>
    <row r="341" spans="2:14" ht="35.25" customHeight="1">
      <c r="B341" s="188" t="s">
        <v>309</v>
      </c>
      <c r="C341" s="181"/>
      <c r="D341" s="181"/>
      <c r="E341" s="181"/>
      <c r="F341" s="181"/>
      <c r="G341" s="181"/>
      <c r="H341" s="181"/>
      <c r="I341" s="181"/>
      <c r="J341" s="181"/>
      <c r="K341" s="117"/>
    </row>
    <row r="342" spans="2:14" ht="5.25" customHeight="1">
      <c r="B342" s="188"/>
      <c r="C342" s="181"/>
      <c r="D342" s="181"/>
      <c r="E342" s="181"/>
      <c r="F342" s="181"/>
      <c r="G342" s="181"/>
      <c r="H342" s="181"/>
      <c r="I342" s="181"/>
      <c r="J342" s="181"/>
      <c r="K342" s="117"/>
    </row>
    <row r="343" spans="2:14">
      <c r="B343" s="189"/>
      <c r="C343" s="181"/>
      <c r="D343" s="117"/>
      <c r="E343" s="182">
        <f>+'Tesorería mensual'!C2</f>
        <v>44197</v>
      </c>
      <c r="F343" s="182">
        <f>+'Tesorería mensual'!D2</f>
        <v>44228</v>
      </c>
      <c r="G343" s="182">
        <f>+'Tesorería mensual'!E2</f>
        <v>44256</v>
      </c>
      <c r="H343" s="182">
        <f>+'Tesorería mensual'!F2</f>
        <v>44287</v>
      </c>
      <c r="I343" s="182">
        <f>+'Tesorería mensual'!G2</f>
        <v>44317</v>
      </c>
      <c r="J343" s="182">
        <f>+'Tesorería mensual'!H2</f>
        <v>44348</v>
      </c>
      <c r="K343" s="117"/>
    </row>
    <row r="344" spans="2:14">
      <c r="B344" s="177" t="str">
        <f>+'Tesorería mensual'!B3</f>
        <v>Financiación / Aportación socios</v>
      </c>
      <c r="C344" s="181"/>
      <c r="D344" s="117"/>
      <c r="E344" s="374">
        <f>+'Tesorería mensual'!C3</f>
        <v>0</v>
      </c>
      <c r="F344" s="374">
        <f>+'Tesorería mensual'!D3</f>
        <v>0</v>
      </c>
      <c r="G344" s="374">
        <f>+'Tesorería mensual'!E3</f>
        <v>0</v>
      </c>
      <c r="H344" s="374">
        <f>+'Tesorería mensual'!F3</f>
        <v>0</v>
      </c>
      <c r="I344" s="374">
        <f>+'Tesorería mensual'!G3</f>
        <v>0</v>
      </c>
      <c r="J344" s="374">
        <f>+'Tesorería mensual'!H3</f>
        <v>0</v>
      </c>
      <c r="K344" s="117"/>
    </row>
    <row r="345" spans="2:14">
      <c r="B345" s="177" t="str">
        <f>+'Tesorería mensual'!B4</f>
        <v>Ventas</v>
      </c>
      <c r="C345" s="181"/>
      <c r="D345" s="117"/>
      <c r="E345" s="374">
        <f>+'Tesorería mensual'!C4</f>
        <v>0</v>
      </c>
      <c r="F345" s="374">
        <f>+'Tesorería mensual'!D4</f>
        <v>0</v>
      </c>
      <c r="G345" s="374">
        <f>+'Tesorería mensual'!E4</f>
        <v>0</v>
      </c>
      <c r="H345" s="374">
        <f>+'Tesorería mensual'!F4</f>
        <v>0</v>
      </c>
      <c r="I345" s="374">
        <f>+'Tesorería mensual'!G4</f>
        <v>0</v>
      </c>
      <c r="J345" s="374">
        <f>+'Tesorería mensual'!H4</f>
        <v>0</v>
      </c>
      <c r="K345" s="117"/>
    </row>
    <row r="346" spans="2:14">
      <c r="B346" s="177" t="str">
        <f>+'Tesorería mensual'!B5</f>
        <v>Total Cobros</v>
      </c>
      <c r="C346" s="181"/>
      <c r="D346" s="117"/>
      <c r="E346" s="372">
        <f>+'Tesorería mensual'!C5</f>
        <v>0</v>
      </c>
      <c r="F346" s="372">
        <f>+'Tesorería mensual'!D5</f>
        <v>0</v>
      </c>
      <c r="G346" s="372">
        <f>+'Tesorería mensual'!E5</f>
        <v>0</v>
      </c>
      <c r="H346" s="372">
        <f>+'Tesorería mensual'!F5</f>
        <v>0</v>
      </c>
      <c r="I346" s="372">
        <f>+'Tesorería mensual'!G5</f>
        <v>0</v>
      </c>
      <c r="J346" s="372">
        <f>+'Tesorería mensual'!H5</f>
        <v>0</v>
      </c>
      <c r="K346" s="117"/>
    </row>
    <row r="347" spans="2:14" ht="6.75" customHeight="1">
      <c r="B347" s="177"/>
      <c r="C347" s="181"/>
      <c r="D347" s="117"/>
      <c r="E347" s="378"/>
      <c r="F347" s="395"/>
      <c r="G347" s="395"/>
      <c r="H347" s="395"/>
      <c r="I347" s="395"/>
      <c r="J347" s="395"/>
      <c r="K347" s="117"/>
    </row>
    <row r="348" spans="2:14">
      <c r="B348" s="177" t="str">
        <f>+'Tesorería mensual'!B7</f>
        <v>Compras</v>
      </c>
      <c r="C348" s="181"/>
      <c r="D348" s="117"/>
      <c r="E348" s="374">
        <f>+'Tesorería mensual'!C7</f>
        <v>0</v>
      </c>
      <c r="F348" s="374">
        <f>+'Tesorería mensual'!D7</f>
        <v>0</v>
      </c>
      <c r="G348" s="374">
        <f>+'Tesorería mensual'!E7</f>
        <v>0</v>
      </c>
      <c r="H348" s="374">
        <f>+'Tesorería mensual'!F7</f>
        <v>0</v>
      </c>
      <c r="I348" s="374">
        <f>+'Tesorería mensual'!G7</f>
        <v>0</v>
      </c>
      <c r="J348" s="374">
        <f>+'Tesorería mensual'!H7</f>
        <v>0</v>
      </c>
      <c r="K348" s="117"/>
    </row>
    <row r="349" spans="2:14">
      <c r="B349" s="177" t="str">
        <f>+'Tesorería mensual'!B8</f>
        <v>Otros costes variables</v>
      </c>
      <c r="C349" s="181"/>
      <c r="D349" s="117"/>
      <c r="E349" s="374">
        <f>+'Tesorería mensual'!C8</f>
        <v>0</v>
      </c>
      <c r="F349" s="374">
        <f>+'Tesorería mensual'!D8</f>
        <v>0</v>
      </c>
      <c r="G349" s="374">
        <f>+'Tesorería mensual'!E8</f>
        <v>0</v>
      </c>
      <c r="H349" s="374">
        <f>+'Tesorería mensual'!F8</f>
        <v>0</v>
      </c>
      <c r="I349" s="374">
        <f>+'Tesorería mensual'!G8</f>
        <v>0</v>
      </c>
      <c r="J349" s="374">
        <f>+'Tesorería mensual'!H8</f>
        <v>0</v>
      </c>
      <c r="K349" s="117"/>
    </row>
    <row r="350" spans="2:14" ht="3" customHeight="1">
      <c r="B350" s="177"/>
      <c r="C350" s="181"/>
      <c r="D350" s="117"/>
      <c r="E350" s="378"/>
      <c r="F350" s="395"/>
      <c r="G350" s="395"/>
      <c r="H350" s="395"/>
      <c r="I350" s="395"/>
      <c r="J350" s="395"/>
      <c r="K350" s="117"/>
    </row>
    <row r="351" spans="2:14">
      <c r="B351" s="177" t="str">
        <f>+'Tesorería mensual'!B10</f>
        <v>Sueldos y salarios</v>
      </c>
      <c r="C351" s="181"/>
      <c r="D351" s="117"/>
      <c r="E351" s="374">
        <f>+'Tesorería mensual'!C10</f>
        <v>0</v>
      </c>
      <c r="F351" s="374">
        <f>+'Tesorería mensual'!D10</f>
        <v>0</v>
      </c>
      <c r="G351" s="374">
        <f>+'Tesorería mensual'!E10</f>
        <v>0</v>
      </c>
      <c r="H351" s="374">
        <f>+'Tesorería mensual'!F10</f>
        <v>0</v>
      </c>
      <c r="I351" s="374">
        <f>+'Tesorería mensual'!G10</f>
        <v>0</v>
      </c>
      <c r="J351" s="374">
        <f>+'Tesorería mensual'!H10</f>
        <v>0</v>
      </c>
      <c r="K351" s="117"/>
    </row>
    <row r="352" spans="2:14">
      <c r="B352" s="177" t="str">
        <f>+'Tesorería mensual'!B11</f>
        <v>Seguridad social</v>
      </c>
      <c r="C352" s="181"/>
      <c r="D352" s="117"/>
      <c r="E352" s="374">
        <f>+'Tesorería mensual'!C11</f>
        <v>0</v>
      </c>
      <c r="F352" s="374">
        <f>+'Tesorería mensual'!D11</f>
        <v>0</v>
      </c>
      <c r="G352" s="374">
        <f>+'Tesorería mensual'!E11</f>
        <v>0</v>
      </c>
      <c r="H352" s="374">
        <f>+'Tesorería mensual'!F11</f>
        <v>0</v>
      </c>
      <c r="I352" s="374">
        <f>+'Tesorería mensual'!G11</f>
        <v>0</v>
      </c>
      <c r="J352" s="374">
        <f>+'Tesorería mensual'!H11</f>
        <v>0</v>
      </c>
      <c r="K352" s="117"/>
    </row>
    <row r="353" spans="2:11">
      <c r="B353" s="177" t="str">
        <f>+'Tesorería mensual'!B12</f>
        <v>Publicidad</v>
      </c>
      <c r="C353" s="181"/>
      <c r="D353" s="117"/>
      <c r="E353" s="374">
        <f>+'Tesorería mensual'!C12</f>
        <v>0</v>
      </c>
      <c r="F353" s="374">
        <f>+'Tesorería mensual'!D12</f>
        <v>0</v>
      </c>
      <c r="G353" s="374">
        <f>+'Tesorería mensual'!E12</f>
        <v>0</v>
      </c>
      <c r="H353" s="374">
        <f>+'Tesorería mensual'!F12</f>
        <v>0</v>
      </c>
      <c r="I353" s="374">
        <f>+'Tesorería mensual'!G12</f>
        <v>0</v>
      </c>
      <c r="J353" s="374">
        <f>+'Tesorería mensual'!H12</f>
        <v>0</v>
      </c>
      <c r="K353" s="117"/>
    </row>
    <row r="354" spans="2:11">
      <c r="B354" s="177">
        <f>+'Tesorería mensual'!B13</f>
        <v>0</v>
      </c>
      <c r="C354" s="181"/>
      <c r="D354" s="117"/>
      <c r="E354" s="374">
        <f>+'Tesorería mensual'!C13</f>
        <v>0</v>
      </c>
      <c r="F354" s="374">
        <f>+'Tesorería mensual'!D13</f>
        <v>0</v>
      </c>
      <c r="G354" s="374">
        <f>+'Tesorería mensual'!E13</f>
        <v>0</v>
      </c>
      <c r="H354" s="374">
        <f>+'Tesorería mensual'!F13</f>
        <v>0</v>
      </c>
      <c r="I354" s="374">
        <f>+'Tesorería mensual'!G13</f>
        <v>0</v>
      </c>
      <c r="J354" s="374">
        <f>+'Tesorería mensual'!H13</f>
        <v>0</v>
      </c>
      <c r="K354" s="117"/>
    </row>
    <row r="355" spans="2:11">
      <c r="B355" s="177">
        <f>+'Tesorería mensual'!B14</f>
        <v>0</v>
      </c>
      <c r="C355" s="181"/>
      <c r="D355" s="117"/>
      <c r="E355" s="374">
        <f>+'Tesorería mensual'!C14</f>
        <v>0</v>
      </c>
      <c r="F355" s="374">
        <f>+'Tesorería mensual'!D14</f>
        <v>0</v>
      </c>
      <c r="G355" s="374">
        <f>+'Tesorería mensual'!E14</f>
        <v>0</v>
      </c>
      <c r="H355" s="374">
        <f>+'Tesorería mensual'!F14</f>
        <v>0</v>
      </c>
      <c r="I355" s="374">
        <f>+'Tesorería mensual'!G14</f>
        <v>0</v>
      </c>
      <c r="J355" s="374">
        <f>+'Tesorería mensual'!H14</f>
        <v>0</v>
      </c>
      <c r="K355" s="117"/>
    </row>
    <row r="356" spans="2:11">
      <c r="B356" s="177">
        <f>+'Tesorería mensual'!B15</f>
        <v>0</v>
      </c>
      <c r="C356" s="181"/>
      <c r="D356" s="117"/>
      <c r="E356" s="374">
        <f>+'Tesorería mensual'!C15</f>
        <v>0</v>
      </c>
      <c r="F356" s="374">
        <f>+'Tesorería mensual'!D15</f>
        <v>0</v>
      </c>
      <c r="G356" s="374">
        <f>+'Tesorería mensual'!E15</f>
        <v>0</v>
      </c>
      <c r="H356" s="374">
        <f>+'Tesorería mensual'!F15</f>
        <v>0</v>
      </c>
      <c r="I356" s="374">
        <f>+'Tesorería mensual'!G15</f>
        <v>0</v>
      </c>
      <c r="J356" s="374">
        <f>+'Tesorería mensual'!H15</f>
        <v>0</v>
      </c>
      <c r="K356" s="117"/>
    </row>
    <row r="357" spans="2:11">
      <c r="B357" s="177" t="s">
        <v>126</v>
      </c>
      <c r="C357" s="181"/>
      <c r="D357" s="117"/>
      <c r="E357" s="374">
        <f>SUM('Tesorería mensual'!C16:C30)</f>
        <v>0</v>
      </c>
      <c r="F357" s="374">
        <f>SUM('Tesorería mensual'!D16:D30)</f>
        <v>0</v>
      </c>
      <c r="G357" s="374">
        <f>SUM('Tesorería mensual'!E16:E30)</f>
        <v>0</v>
      </c>
      <c r="H357" s="374">
        <f>SUM('Tesorería mensual'!F16:F30)</f>
        <v>0</v>
      </c>
      <c r="I357" s="374">
        <f>SUM('Tesorería mensual'!G16:G30)</f>
        <v>0</v>
      </c>
      <c r="J357" s="374">
        <f>SUM('Tesorería mensual'!H16:H30)</f>
        <v>0</v>
      </c>
      <c r="K357" s="117"/>
    </row>
    <row r="358" spans="2:11" ht="9" customHeight="1">
      <c r="B358" s="177"/>
      <c r="C358" s="181"/>
      <c r="D358" s="117"/>
      <c r="E358" s="378"/>
      <c r="F358" s="395"/>
      <c r="G358" s="395"/>
      <c r="H358" s="395"/>
      <c r="I358" s="395"/>
      <c r="J358" s="395"/>
      <c r="K358" s="117"/>
    </row>
    <row r="359" spans="2:11">
      <c r="B359" s="177" t="str">
        <f>+'Tesorería mensual'!B33</f>
        <v>Devolución préstamos</v>
      </c>
      <c r="C359" s="181"/>
      <c r="D359" s="117"/>
      <c r="E359" s="374">
        <f ca="1">+'Tesorería mensual'!C33</f>
        <v>0</v>
      </c>
      <c r="F359" s="374">
        <f ca="1">+'Tesorería mensual'!D33</f>
        <v>0</v>
      </c>
      <c r="G359" s="374">
        <f ca="1">+'Tesorería mensual'!E33</f>
        <v>0</v>
      </c>
      <c r="H359" s="374">
        <f ca="1">+'Tesorería mensual'!F33</f>
        <v>0</v>
      </c>
      <c r="I359" s="374">
        <f ca="1">+'Tesorería mensual'!G33</f>
        <v>0</v>
      </c>
      <c r="J359" s="374">
        <f ca="1">+'Tesorería mensual'!H33</f>
        <v>0</v>
      </c>
      <c r="K359" s="117"/>
    </row>
    <row r="360" spans="2:11">
      <c r="B360" s="177" t="str">
        <f>+'Tesorería mensual'!B34</f>
        <v>Intereses préstamos</v>
      </c>
      <c r="C360" s="181"/>
      <c r="D360" s="117"/>
      <c r="E360" s="374">
        <f ca="1">+'Tesorería mensual'!C34</f>
        <v>0</v>
      </c>
      <c r="F360" s="374">
        <f ca="1">+'Tesorería mensual'!D34</f>
        <v>0</v>
      </c>
      <c r="G360" s="374">
        <f ca="1">+'Tesorería mensual'!E34</f>
        <v>0</v>
      </c>
      <c r="H360" s="374">
        <f ca="1">+'Tesorería mensual'!F34</f>
        <v>0</v>
      </c>
      <c r="I360" s="374">
        <f ca="1">+'Tesorería mensual'!G34</f>
        <v>0</v>
      </c>
      <c r="J360" s="374">
        <f ca="1">+'Tesorería mensual'!H34</f>
        <v>0</v>
      </c>
      <c r="K360" s="117"/>
    </row>
    <row r="361" spans="2:11" ht="9" customHeight="1">
      <c r="B361" s="177"/>
      <c r="C361" s="181"/>
      <c r="D361" s="117"/>
      <c r="E361" s="378"/>
      <c r="F361" s="395"/>
      <c r="G361" s="395"/>
      <c r="H361" s="395"/>
      <c r="I361" s="395"/>
      <c r="J361" s="395"/>
      <c r="K361" s="117"/>
    </row>
    <row r="362" spans="2:11">
      <c r="B362" s="177" t="str">
        <f>+'Tesorería mensual'!B36</f>
        <v>IRPF Promotor + Trabajadores</v>
      </c>
      <c r="C362" s="181"/>
      <c r="D362" s="117"/>
      <c r="E362" s="374">
        <f>+'Tesorería mensual'!C36</f>
        <v>0</v>
      </c>
      <c r="F362" s="374">
        <f>+'Tesorería mensual'!D36</f>
        <v>0</v>
      </c>
      <c r="G362" s="374">
        <f>+'Tesorería mensual'!E36</f>
        <v>0</v>
      </c>
      <c r="H362" s="374">
        <f>+'Tesorería mensual'!F36</f>
        <v>0</v>
      </c>
      <c r="I362" s="374">
        <f>+'Tesorería mensual'!G36</f>
        <v>0</v>
      </c>
      <c r="J362" s="374">
        <f>+'Tesorería mensual'!H36</f>
        <v>0</v>
      </c>
      <c r="K362" s="117"/>
    </row>
    <row r="363" spans="2:11">
      <c r="B363" s="177" t="str">
        <f>+'Tesorería mensual'!B37</f>
        <v>IRPF Alquileres</v>
      </c>
      <c r="C363" s="181"/>
      <c r="D363" s="117"/>
      <c r="E363" s="374">
        <f>+'Tesorería mensual'!C37</f>
        <v>0</v>
      </c>
      <c r="F363" s="374">
        <f>+'Tesorería mensual'!D37</f>
        <v>0</v>
      </c>
      <c r="G363" s="374">
        <f>+'Tesorería mensual'!E37</f>
        <v>0</v>
      </c>
      <c r="H363" s="374">
        <f>+'Tesorería mensual'!F37</f>
        <v>0</v>
      </c>
      <c r="I363" s="374">
        <f>+'Tesorería mensual'!G37</f>
        <v>0</v>
      </c>
      <c r="J363" s="374">
        <f>+'Tesorería mensual'!H37</f>
        <v>0</v>
      </c>
      <c r="K363" s="117"/>
    </row>
    <row r="364" spans="2:11">
      <c r="B364" s="177" t="str">
        <f>+'Tesorería mensual'!B38</f>
        <v>IVA</v>
      </c>
      <c r="C364" s="181"/>
      <c r="D364" s="117"/>
      <c r="E364" s="374">
        <f>+'Tesorería mensual'!C38</f>
        <v>0</v>
      </c>
      <c r="F364" s="374">
        <f>+'Tesorería mensual'!D38</f>
        <v>0</v>
      </c>
      <c r="G364" s="374">
        <f>+'Tesorería mensual'!E38</f>
        <v>0</v>
      </c>
      <c r="H364" s="374">
        <f>+'Tesorería mensual'!F38</f>
        <v>0</v>
      </c>
      <c r="I364" s="374">
        <f>+'Tesorería mensual'!G38</f>
        <v>0</v>
      </c>
      <c r="J364" s="374">
        <f>+'Tesorería mensual'!H38</f>
        <v>0</v>
      </c>
      <c r="K364" s="117"/>
    </row>
    <row r="365" spans="2:11" ht="9" customHeight="1">
      <c r="B365" s="177"/>
      <c r="C365" s="181"/>
      <c r="D365" s="117"/>
      <c r="E365" s="378"/>
      <c r="F365" s="395"/>
      <c r="G365" s="395"/>
      <c r="H365" s="395"/>
      <c r="I365" s="395"/>
      <c r="J365" s="395"/>
      <c r="K365" s="117"/>
    </row>
    <row r="366" spans="2:11">
      <c r="B366" s="177" t="str">
        <f>+'Tesorería mensual'!B41</f>
        <v>Inversiones / Stock inicial</v>
      </c>
      <c r="C366" s="181"/>
      <c r="D366" s="117"/>
      <c r="E366" s="374">
        <f>+'Tesorería mensual'!C41</f>
        <v>0</v>
      </c>
      <c r="F366" s="374">
        <f>+'Tesorería mensual'!D41</f>
        <v>0</v>
      </c>
      <c r="G366" s="374">
        <f>+'Tesorería mensual'!E41</f>
        <v>0</v>
      </c>
      <c r="H366" s="374">
        <f>+'Tesorería mensual'!F41</f>
        <v>0</v>
      </c>
      <c r="I366" s="374">
        <f>+'Tesorería mensual'!G41</f>
        <v>0</v>
      </c>
      <c r="J366" s="374">
        <f>+'Tesorería mensual'!H41</f>
        <v>0</v>
      </c>
      <c r="K366" s="117"/>
    </row>
    <row r="367" spans="2:11" ht="6.75" customHeight="1">
      <c r="B367" s="177"/>
      <c r="C367" s="181"/>
      <c r="D367" s="117"/>
      <c r="E367" s="378"/>
      <c r="F367" s="395"/>
      <c r="G367" s="395"/>
      <c r="H367" s="395"/>
      <c r="I367" s="395"/>
      <c r="J367" s="395"/>
      <c r="K367" s="117"/>
    </row>
    <row r="368" spans="2:11">
      <c r="B368" s="178" t="s">
        <v>209</v>
      </c>
      <c r="C368" s="181"/>
      <c r="D368" s="117"/>
      <c r="E368" s="372">
        <f ca="1">+'Tesorería mensual'!C43</f>
        <v>0</v>
      </c>
      <c r="F368" s="372">
        <f ca="1">+'Tesorería mensual'!D43</f>
        <v>0</v>
      </c>
      <c r="G368" s="372">
        <f ca="1">+'Tesorería mensual'!E43</f>
        <v>0</v>
      </c>
      <c r="H368" s="372">
        <f ca="1">+'Tesorería mensual'!F43</f>
        <v>0</v>
      </c>
      <c r="I368" s="372">
        <f ca="1">+'Tesorería mensual'!G43</f>
        <v>0</v>
      </c>
      <c r="J368" s="372">
        <f ca="1">+'Tesorería mensual'!H43</f>
        <v>0</v>
      </c>
      <c r="K368" s="117"/>
    </row>
    <row r="369" spans="2:11" ht="8.25" customHeight="1">
      <c r="B369" s="177"/>
      <c r="C369" s="181"/>
      <c r="D369" s="117"/>
      <c r="E369" s="386" t="s">
        <v>46</v>
      </c>
      <c r="F369" s="386"/>
      <c r="G369" s="386"/>
      <c r="H369" s="386"/>
      <c r="I369" s="386"/>
      <c r="J369" s="386"/>
      <c r="K369" s="117"/>
    </row>
    <row r="370" spans="2:11">
      <c r="B370" s="178" t="s">
        <v>210</v>
      </c>
      <c r="C370" s="181"/>
      <c r="D370" s="117"/>
      <c r="E370" s="372">
        <f>+'Tesorería mensual'!C45</f>
        <v>0</v>
      </c>
      <c r="F370" s="372">
        <f ca="1">+'Tesorería mensual'!D45</f>
        <v>0</v>
      </c>
      <c r="G370" s="372">
        <f ca="1">+'Tesorería mensual'!E45</f>
        <v>0</v>
      </c>
      <c r="H370" s="372">
        <f ca="1">+'Tesorería mensual'!F45</f>
        <v>0</v>
      </c>
      <c r="I370" s="372">
        <f ca="1">+'Tesorería mensual'!G45</f>
        <v>0</v>
      </c>
      <c r="J370" s="372">
        <f ca="1">+'Tesorería mensual'!H45</f>
        <v>0</v>
      </c>
      <c r="K370" s="117"/>
    </row>
    <row r="371" spans="2:11">
      <c r="B371" s="178" t="s">
        <v>211</v>
      </c>
      <c r="C371" s="181"/>
      <c r="D371" s="117"/>
      <c r="E371" s="372">
        <f ca="1">+'Tesorería mensual'!C46</f>
        <v>0</v>
      </c>
      <c r="F371" s="372">
        <f ca="1">+'Tesorería mensual'!D46</f>
        <v>0</v>
      </c>
      <c r="G371" s="372">
        <f ca="1">+'Tesorería mensual'!E46</f>
        <v>0</v>
      </c>
      <c r="H371" s="372">
        <f ca="1">+'Tesorería mensual'!F46</f>
        <v>0</v>
      </c>
      <c r="I371" s="372">
        <f ca="1">+'Tesorería mensual'!G46</f>
        <v>0</v>
      </c>
      <c r="J371" s="372">
        <f ca="1">+'Tesorería mensual'!H46</f>
        <v>0</v>
      </c>
      <c r="K371" s="117"/>
    </row>
    <row r="372" spans="2:11">
      <c r="B372" s="178" t="s">
        <v>212</v>
      </c>
      <c r="C372" s="181"/>
      <c r="D372" s="117"/>
      <c r="E372" s="372">
        <f ca="1">+'Tesorería mensual'!C47</f>
        <v>0</v>
      </c>
      <c r="F372" s="372">
        <f ca="1">+'Tesorería mensual'!D47</f>
        <v>0</v>
      </c>
      <c r="G372" s="372">
        <f ca="1">+'Tesorería mensual'!E47</f>
        <v>0</v>
      </c>
      <c r="H372" s="372">
        <f ca="1">+'Tesorería mensual'!F47</f>
        <v>0</v>
      </c>
      <c r="I372" s="372">
        <f ca="1">+'Tesorería mensual'!G47</f>
        <v>0</v>
      </c>
      <c r="J372" s="372">
        <f ca="1">+'Tesorería mensual'!H47</f>
        <v>0</v>
      </c>
      <c r="K372" s="117"/>
    </row>
    <row r="373" spans="2:11" ht="11.25" customHeight="1">
      <c r="B373" s="181"/>
      <c r="C373" s="181"/>
      <c r="D373" s="181"/>
      <c r="E373" s="181"/>
      <c r="F373" s="181"/>
      <c r="G373" s="181"/>
      <c r="H373" s="181"/>
      <c r="I373" s="181"/>
      <c r="J373" s="181"/>
    </row>
    <row r="374" spans="2:11">
      <c r="B374" s="181"/>
      <c r="C374" s="181"/>
      <c r="D374" s="117"/>
      <c r="E374" s="182">
        <f>+'Tesorería mensual'!I2</f>
        <v>44378</v>
      </c>
      <c r="F374" s="182">
        <f>+'Tesorería mensual'!J2</f>
        <v>44409</v>
      </c>
      <c r="G374" s="182">
        <f>+'Tesorería mensual'!K2</f>
        <v>44440</v>
      </c>
      <c r="H374" s="182">
        <f>+'Tesorería mensual'!L2</f>
        <v>44470</v>
      </c>
      <c r="I374" s="182">
        <f>+'Tesorería mensual'!M2</f>
        <v>44501</v>
      </c>
      <c r="J374" s="182">
        <f>+'Tesorería mensual'!N2</f>
        <v>44531</v>
      </c>
    </row>
    <row r="375" spans="2:11">
      <c r="B375" s="181" t="str">
        <f>+B344</f>
        <v>Financiación / Aportación socios</v>
      </c>
      <c r="C375" s="181"/>
      <c r="D375" s="117"/>
      <c r="E375" s="374">
        <f>+'Tesorería mensual'!I3</f>
        <v>0</v>
      </c>
      <c r="F375" s="374">
        <f>+'Tesorería mensual'!J3</f>
        <v>0</v>
      </c>
      <c r="G375" s="374">
        <f>+'Tesorería mensual'!K3</f>
        <v>0</v>
      </c>
      <c r="H375" s="374">
        <f>+'Tesorería mensual'!L3</f>
        <v>0</v>
      </c>
      <c r="I375" s="374">
        <f>+'Tesorería mensual'!M3</f>
        <v>0</v>
      </c>
      <c r="J375" s="374">
        <f>+'Tesorería mensual'!N3</f>
        <v>0</v>
      </c>
    </row>
    <row r="376" spans="2:11">
      <c r="B376" s="181" t="str">
        <f t="shared" ref="B376:B403" si="17">+B345</f>
        <v>Ventas</v>
      </c>
      <c r="C376" s="181"/>
      <c r="D376" s="117"/>
      <c r="E376" s="374">
        <f>+'Tesorería mensual'!I4</f>
        <v>0</v>
      </c>
      <c r="F376" s="374">
        <f>+'Tesorería mensual'!J4</f>
        <v>0</v>
      </c>
      <c r="G376" s="374">
        <f>+'Tesorería mensual'!K4</f>
        <v>0</v>
      </c>
      <c r="H376" s="374">
        <f>+'Tesorería mensual'!L4</f>
        <v>0</v>
      </c>
      <c r="I376" s="374">
        <f>+'Tesorería mensual'!M4</f>
        <v>0</v>
      </c>
      <c r="J376" s="374">
        <f>+'Tesorería mensual'!N4</f>
        <v>0</v>
      </c>
    </row>
    <row r="377" spans="2:11">
      <c r="B377" s="181" t="str">
        <f t="shared" si="17"/>
        <v>Total Cobros</v>
      </c>
      <c r="C377" s="181"/>
      <c r="D377" s="117"/>
      <c r="E377" s="372">
        <f>+'Tesorería mensual'!I5</f>
        <v>0</v>
      </c>
      <c r="F377" s="372">
        <f>+'Tesorería mensual'!J5</f>
        <v>0</v>
      </c>
      <c r="G377" s="372">
        <f>+'Tesorería mensual'!K5</f>
        <v>0</v>
      </c>
      <c r="H377" s="372">
        <f>+'Tesorería mensual'!L5</f>
        <v>0</v>
      </c>
      <c r="I377" s="372">
        <f>+'Tesorería mensual'!M5</f>
        <v>0</v>
      </c>
      <c r="J377" s="372">
        <f>+'Tesorería mensual'!N5</f>
        <v>0</v>
      </c>
    </row>
    <row r="378" spans="2:11" ht="6" customHeight="1">
      <c r="B378" s="181"/>
      <c r="C378" s="181"/>
      <c r="D378" s="117"/>
      <c r="E378" s="395"/>
      <c r="F378" s="395"/>
      <c r="G378" s="395"/>
      <c r="H378" s="395"/>
      <c r="I378" s="395"/>
      <c r="J378" s="395"/>
    </row>
    <row r="379" spans="2:11">
      <c r="B379" s="181" t="str">
        <f t="shared" si="17"/>
        <v>Compras</v>
      </c>
      <c r="C379" s="181"/>
      <c r="D379" s="117"/>
      <c r="E379" s="374">
        <f>+'Tesorería mensual'!I7</f>
        <v>0</v>
      </c>
      <c r="F379" s="374">
        <f>+'Tesorería mensual'!J7</f>
        <v>0</v>
      </c>
      <c r="G379" s="374">
        <f>+'Tesorería mensual'!K7</f>
        <v>0</v>
      </c>
      <c r="H379" s="374">
        <f>+'Tesorería mensual'!L7</f>
        <v>0</v>
      </c>
      <c r="I379" s="374">
        <f>+'Tesorería mensual'!M7</f>
        <v>0</v>
      </c>
      <c r="J379" s="374">
        <f>+'Tesorería mensual'!N7</f>
        <v>0</v>
      </c>
    </row>
    <row r="380" spans="2:11">
      <c r="B380" s="181" t="str">
        <f t="shared" si="17"/>
        <v>Otros costes variables</v>
      </c>
      <c r="C380" s="181"/>
      <c r="D380" s="117"/>
      <c r="E380" s="374">
        <f>+'Tesorería mensual'!I8</f>
        <v>0</v>
      </c>
      <c r="F380" s="374">
        <f>+'Tesorería mensual'!J8</f>
        <v>0</v>
      </c>
      <c r="G380" s="374">
        <f>+'Tesorería mensual'!K8</f>
        <v>0</v>
      </c>
      <c r="H380" s="374">
        <f>+'Tesorería mensual'!L8</f>
        <v>0</v>
      </c>
      <c r="I380" s="374">
        <f>+'Tesorería mensual'!M8</f>
        <v>0</v>
      </c>
      <c r="J380" s="374">
        <f>+'Tesorería mensual'!N8</f>
        <v>0</v>
      </c>
    </row>
    <row r="381" spans="2:11" ht="6" customHeight="1">
      <c r="B381" s="181"/>
      <c r="C381" s="181"/>
      <c r="D381" s="117"/>
      <c r="E381" s="395"/>
      <c r="F381" s="395"/>
      <c r="G381" s="395"/>
      <c r="H381" s="395"/>
      <c r="I381" s="395"/>
      <c r="J381" s="395"/>
    </row>
    <row r="382" spans="2:11">
      <c r="B382" s="181" t="str">
        <f t="shared" si="17"/>
        <v>Sueldos y salarios</v>
      </c>
      <c r="C382" s="181"/>
      <c r="D382" s="117"/>
      <c r="E382" s="374">
        <f>+'Tesorería mensual'!I10</f>
        <v>0</v>
      </c>
      <c r="F382" s="374">
        <f>+'Tesorería mensual'!J10</f>
        <v>0</v>
      </c>
      <c r="G382" s="374">
        <f>+'Tesorería mensual'!K10</f>
        <v>0</v>
      </c>
      <c r="H382" s="374">
        <f>+'Tesorería mensual'!L10</f>
        <v>0</v>
      </c>
      <c r="I382" s="374">
        <f>+'Tesorería mensual'!M10</f>
        <v>0</v>
      </c>
      <c r="J382" s="374">
        <f>+'Tesorería mensual'!N10</f>
        <v>0</v>
      </c>
    </row>
    <row r="383" spans="2:11">
      <c r="B383" s="181" t="str">
        <f t="shared" si="17"/>
        <v>Seguridad social</v>
      </c>
      <c r="C383" s="181"/>
      <c r="D383" s="117"/>
      <c r="E383" s="374">
        <f>+'Tesorería mensual'!H11</f>
        <v>0</v>
      </c>
      <c r="F383" s="374">
        <f>+'Tesorería mensual'!I11</f>
        <v>0</v>
      </c>
      <c r="G383" s="374">
        <f>+'Tesorería mensual'!J11</f>
        <v>0</v>
      </c>
      <c r="H383" s="374">
        <f>+'Tesorería mensual'!K11</f>
        <v>0</v>
      </c>
      <c r="I383" s="374">
        <f>+'Tesorería mensual'!L11</f>
        <v>0</v>
      </c>
      <c r="J383" s="374">
        <f>+'Tesorería mensual'!M11</f>
        <v>0</v>
      </c>
    </row>
    <row r="384" spans="2:11">
      <c r="B384" s="181" t="str">
        <f t="shared" si="17"/>
        <v>Publicidad</v>
      </c>
      <c r="C384" s="181"/>
      <c r="D384" s="117"/>
      <c r="E384" s="374">
        <f>+'Tesorería mensual'!I12</f>
        <v>0</v>
      </c>
      <c r="F384" s="374">
        <f>+'Tesorería mensual'!J12</f>
        <v>0</v>
      </c>
      <c r="G384" s="374">
        <f>+'Tesorería mensual'!K12</f>
        <v>0</v>
      </c>
      <c r="H384" s="374">
        <f>+'Tesorería mensual'!L12</f>
        <v>0</v>
      </c>
      <c r="I384" s="374">
        <f>+'Tesorería mensual'!M12</f>
        <v>0</v>
      </c>
      <c r="J384" s="374">
        <f>+'Tesorería mensual'!N12</f>
        <v>0</v>
      </c>
    </row>
    <row r="385" spans="2:10">
      <c r="B385" s="181">
        <f t="shared" si="17"/>
        <v>0</v>
      </c>
      <c r="C385" s="181"/>
      <c r="D385" s="117"/>
      <c r="E385" s="374">
        <f>+'Tesorería mensual'!I13</f>
        <v>0</v>
      </c>
      <c r="F385" s="374">
        <f>+'Tesorería mensual'!J13</f>
        <v>0</v>
      </c>
      <c r="G385" s="374">
        <f>+'Tesorería mensual'!K13</f>
        <v>0</v>
      </c>
      <c r="H385" s="374">
        <f>+'Tesorería mensual'!L13</f>
        <v>0</v>
      </c>
      <c r="I385" s="374">
        <f>+'Tesorería mensual'!M13</f>
        <v>0</v>
      </c>
      <c r="J385" s="374">
        <f>+'Tesorería mensual'!N13</f>
        <v>0</v>
      </c>
    </row>
    <row r="386" spans="2:10">
      <c r="B386" s="181">
        <f t="shared" si="17"/>
        <v>0</v>
      </c>
      <c r="C386" s="181"/>
      <c r="D386" s="117"/>
      <c r="E386" s="374">
        <f>+'Tesorería mensual'!I14</f>
        <v>0</v>
      </c>
      <c r="F386" s="374">
        <f>+'Tesorería mensual'!J14</f>
        <v>0</v>
      </c>
      <c r="G386" s="374">
        <f>+'Tesorería mensual'!K14</f>
        <v>0</v>
      </c>
      <c r="H386" s="374">
        <f>+'Tesorería mensual'!L14</f>
        <v>0</v>
      </c>
      <c r="I386" s="374">
        <f>+'Tesorería mensual'!M14</f>
        <v>0</v>
      </c>
      <c r="J386" s="374">
        <f>+'Tesorería mensual'!N14</f>
        <v>0</v>
      </c>
    </row>
    <row r="387" spans="2:10">
      <c r="B387" s="181">
        <f t="shared" si="17"/>
        <v>0</v>
      </c>
      <c r="C387" s="181"/>
      <c r="D387" s="117"/>
      <c r="E387" s="374">
        <f>+'Tesorería mensual'!I15</f>
        <v>0</v>
      </c>
      <c r="F387" s="374">
        <f>+'Tesorería mensual'!J15</f>
        <v>0</v>
      </c>
      <c r="G387" s="374">
        <f>+'Tesorería mensual'!K15</f>
        <v>0</v>
      </c>
      <c r="H387" s="374">
        <f>+'Tesorería mensual'!L15</f>
        <v>0</v>
      </c>
      <c r="I387" s="374">
        <f>+'Tesorería mensual'!M15</f>
        <v>0</v>
      </c>
      <c r="J387" s="374">
        <f>+'Tesorería mensual'!N15</f>
        <v>0</v>
      </c>
    </row>
    <row r="388" spans="2:10">
      <c r="B388" s="181" t="str">
        <f t="shared" si="17"/>
        <v>Otros costes fijos</v>
      </c>
      <c r="C388" s="181"/>
      <c r="D388" s="117"/>
      <c r="E388" s="374">
        <f>SUM('Tesorería mensual'!I16:I30)</f>
        <v>0</v>
      </c>
      <c r="F388" s="374">
        <f>SUM('Tesorería mensual'!J16:J30)</f>
        <v>0</v>
      </c>
      <c r="G388" s="374">
        <f>SUM('Tesorería mensual'!K16:K30)</f>
        <v>0</v>
      </c>
      <c r="H388" s="374">
        <f>SUM('Tesorería mensual'!L16:L30)</f>
        <v>0</v>
      </c>
      <c r="I388" s="374">
        <f>SUM('Tesorería mensual'!M16:M30)</f>
        <v>0</v>
      </c>
      <c r="J388" s="374">
        <f>SUM('Tesorería mensual'!N16:N30)</f>
        <v>0</v>
      </c>
    </row>
    <row r="389" spans="2:10" ht="6" customHeight="1">
      <c r="B389" s="181"/>
      <c r="C389" s="181"/>
      <c r="D389" s="117"/>
      <c r="E389" s="395"/>
      <c r="F389" s="395"/>
      <c r="G389" s="395"/>
      <c r="H389" s="395"/>
      <c r="I389" s="395"/>
      <c r="J389" s="395"/>
    </row>
    <row r="390" spans="2:10">
      <c r="B390" s="181" t="str">
        <f t="shared" si="17"/>
        <v>Devolución préstamos</v>
      </c>
      <c r="C390" s="181"/>
      <c r="D390" s="117"/>
      <c r="E390" s="374">
        <f ca="1">+'Tesorería mensual'!I33</f>
        <v>0</v>
      </c>
      <c r="F390" s="374">
        <f ca="1">+'Tesorería mensual'!J33</f>
        <v>0</v>
      </c>
      <c r="G390" s="374">
        <f ca="1">+'Tesorería mensual'!K33</f>
        <v>0</v>
      </c>
      <c r="H390" s="374">
        <f ca="1">+'Tesorería mensual'!L33</f>
        <v>0</v>
      </c>
      <c r="I390" s="374">
        <f ca="1">+'Tesorería mensual'!M33</f>
        <v>0</v>
      </c>
      <c r="J390" s="374">
        <f ca="1">+'Tesorería mensual'!N33</f>
        <v>0</v>
      </c>
    </row>
    <row r="391" spans="2:10">
      <c r="B391" s="181" t="str">
        <f t="shared" si="17"/>
        <v>Intereses préstamos</v>
      </c>
      <c r="C391" s="181"/>
      <c r="D391" s="117"/>
      <c r="E391" s="374">
        <f ca="1">+'Tesorería mensual'!I34</f>
        <v>0</v>
      </c>
      <c r="F391" s="374">
        <f ca="1">+'Tesorería mensual'!J34</f>
        <v>0</v>
      </c>
      <c r="G391" s="374">
        <f ca="1">+'Tesorería mensual'!K34</f>
        <v>0</v>
      </c>
      <c r="H391" s="374">
        <f ca="1">+'Tesorería mensual'!L34</f>
        <v>0</v>
      </c>
      <c r="I391" s="374">
        <f ca="1">+'Tesorería mensual'!M34</f>
        <v>0</v>
      </c>
      <c r="J391" s="374">
        <f ca="1">+'Tesorería mensual'!N34</f>
        <v>0</v>
      </c>
    </row>
    <row r="392" spans="2:10" ht="6" customHeight="1">
      <c r="B392" s="181"/>
      <c r="C392" s="181"/>
      <c r="D392" s="117"/>
      <c r="E392" s="395"/>
      <c r="F392" s="395"/>
      <c r="G392" s="395"/>
      <c r="H392" s="395"/>
      <c r="I392" s="395"/>
      <c r="J392" s="395"/>
    </row>
    <row r="393" spans="2:10">
      <c r="B393" s="181" t="str">
        <f t="shared" si="17"/>
        <v>IRPF Promotor + Trabajadores</v>
      </c>
      <c r="C393" s="181"/>
      <c r="D393" s="117"/>
      <c r="E393" s="374">
        <f>+'Tesorería mensual'!I36</f>
        <v>0</v>
      </c>
      <c r="F393" s="374">
        <f>+'Tesorería mensual'!J36</f>
        <v>0</v>
      </c>
      <c r="G393" s="374">
        <f>+'Tesorería mensual'!K36</f>
        <v>0</v>
      </c>
      <c r="H393" s="374">
        <f>+'Tesorería mensual'!L36</f>
        <v>0</v>
      </c>
      <c r="I393" s="374">
        <f>+'Tesorería mensual'!M36</f>
        <v>0</v>
      </c>
      <c r="J393" s="374">
        <f>+'Tesorería mensual'!N36</f>
        <v>0</v>
      </c>
    </row>
    <row r="394" spans="2:10">
      <c r="B394" s="181" t="str">
        <f t="shared" si="17"/>
        <v>IRPF Alquileres</v>
      </c>
      <c r="C394" s="181"/>
      <c r="D394" s="117"/>
      <c r="E394" s="374">
        <f>+'Tesorería mensual'!I37</f>
        <v>0</v>
      </c>
      <c r="F394" s="374">
        <f>+'Tesorería mensual'!J37</f>
        <v>0</v>
      </c>
      <c r="G394" s="374">
        <f>+'Tesorería mensual'!K37</f>
        <v>0</v>
      </c>
      <c r="H394" s="374">
        <f>+'Tesorería mensual'!L37</f>
        <v>0</v>
      </c>
      <c r="I394" s="374">
        <f>+'Tesorería mensual'!M37</f>
        <v>0</v>
      </c>
      <c r="J394" s="374">
        <f>+'Tesorería mensual'!N37</f>
        <v>0</v>
      </c>
    </row>
    <row r="395" spans="2:10">
      <c r="B395" s="181" t="str">
        <f t="shared" si="17"/>
        <v>IVA</v>
      </c>
      <c r="C395" s="181"/>
      <c r="D395" s="117"/>
      <c r="E395" s="374">
        <f>+'Tesorería mensual'!I38</f>
        <v>0</v>
      </c>
      <c r="F395" s="374">
        <f>+'Tesorería mensual'!J38</f>
        <v>0</v>
      </c>
      <c r="G395" s="374">
        <f>+'Tesorería mensual'!K38</f>
        <v>0</v>
      </c>
      <c r="H395" s="374">
        <f>+'Tesorería mensual'!L38</f>
        <v>0</v>
      </c>
      <c r="I395" s="374">
        <f>+'Tesorería mensual'!M38</f>
        <v>0</v>
      </c>
      <c r="J395" s="374">
        <f>+'Tesorería mensual'!N38</f>
        <v>0</v>
      </c>
    </row>
    <row r="396" spans="2:10" ht="6" customHeight="1">
      <c r="B396" s="181"/>
      <c r="C396" s="181"/>
      <c r="D396" s="117"/>
      <c r="E396" s="395"/>
      <c r="F396" s="395"/>
      <c r="G396" s="395"/>
      <c r="H396" s="395"/>
      <c r="I396" s="395"/>
      <c r="J396" s="395"/>
    </row>
    <row r="397" spans="2:10" hidden="1">
      <c r="B397" s="181" t="str">
        <f t="shared" si="17"/>
        <v>Inversiones / Stock inicial</v>
      </c>
      <c r="C397" s="181"/>
      <c r="D397" s="117"/>
      <c r="E397" s="374">
        <f>+'Tesorería mensual'!I41</f>
        <v>0</v>
      </c>
      <c r="F397" s="374">
        <f>+'Tesorería mensual'!J41</f>
        <v>0</v>
      </c>
      <c r="G397" s="374">
        <f>+'Tesorería mensual'!K41</f>
        <v>0</v>
      </c>
      <c r="H397" s="374">
        <f>+'Tesorería mensual'!L41</f>
        <v>0</v>
      </c>
      <c r="I397" s="374">
        <f>+'Tesorería mensual'!M41</f>
        <v>0</v>
      </c>
      <c r="J397" s="374">
        <f>+'Tesorería mensual'!N41</f>
        <v>0</v>
      </c>
    </row>
    <row r="398" spans="2:10" ht="6" customHeight="1">
      <c r="B398" s="181"/>
      <c r="C398" s="181"/>
      <c r="D398" s="117"/>
      <c r="E398" s="395"/>
      <c r="F398" s="395"/>
      <c r="G398" s="395"/>
      <c r="H398" s="395"/>
      <c r="I398" s="395"/>
      <c r="J398" s="395"/>
    </row>
    <row r="399" spans="2:10">
      <c r="B399" s="186" t="str">
        <f t="shared" si="17"/>
        <v>TOTAL PAGOS</v>
      </c>
      <c r="C399" s="181"/>
      <c r="D399" s="117"/>
      <c r="E399" s="372">
        <f ca="1">+'Tesorería mensual'!I43</f>
        <v>0</v>
      </c>
      <c r="F399" s="372">
        <f ca="1">+'Tesorería mensual'!J43</f>
        <v>0</v>
      </c>
      <c r="G399" s="372">
        <f ca="1">+'Tesorería mensual'!K43</f>
        <v>0</v>
      </c>
      <c r="H399" s="372">
        <f ca="1">+'Tesorería mensual'!L43</f>
        <v>0</v>
      </c>
      <c r="I399" s="372">
        <f ca="1">+'Tesorería mensual'!M43</f>
        <v>0</v>
      </c>
      <c r="J399" s="372">
        <f ca="1">+'Tesorería mensual'!N43</f>
        <v>0</v>
      </c>
    </row>
    <row r="400" spans="2:10" ht="6" customHeight="1">
      <c r="B400" s="186"/>
      <c r="C400" s="181"/>
      <c r="D400" s="117"/>
      <c r="E400" s="386"/>
      <c r="F400" s="386"/>
      <c r="G400" s="386"/>
      <c r="H400" s="386"/>
      <c r="I400" s="386"/>
      <c r="J400" s="386"/>
    </row>
    <row r="401" spans="1:19">
      <c r="B401" s="186" t="str">
        <f t="shared" si="17"/>
        <v>SALDO INICIAL</v>
      </c>
      <c r="C401" s="181"/>
      <c r="D401" s="117"/>
      <c r="E401" s="372">
        <f ca="1">+'Tesorería mensual'!I45</f>
        <v>0</v>
      </c>
      <c r="F401" s="372">
        <f ca="1">+'Tesorería mensual'!J45</f>
        <v>0</v>
      </c>
      <c r="G401" s="372">
        <f ca="1">+'Tesorería mensual'!K45</f>
        <v>0</v>
      </c>
      <c r="H401" s="372">
        <f ca="1">+'Tesorería mensual'!L45</f>
        <v>0</v>
      </c>
      <c r="I401" s="372">
        <f ca="1">+'Tesorería mensual'!M45</f>
        <v>0</v>
      </c>
      <c r="J401" s="372">
        <f ca="1">+'Tesorería mensual'!N45</f>
        <v>0</v>
      </c>
    </row>
    <row r="402" spans="1:19">
      <c r="B402" s="186" t="str">
        <f t="shared" si="17"/>
        <v>COBROS - PAGOS</v>
      </c>
      <c r="C402" s="181"/>
      <c r="D402" s="117"/>
      <c r="E402" s="372">
        <f ca="1">+'Tesorería mensual'!I46</f>
        <v>0</v>
      </c>
      <c r="F402" s="372">
        <f ca="1">+'Tesorería mensual'!J46</f>
        <v>0</v>
      </c>
      <c r="G402" s="372">
        <f ca="1">+'Tesorería mensual'!K46</f>
        <v>0</v>
      </c>
      <c r="H402" s="372">
        <f ca="1">+'Tesorería mensual'!L46</f>
        <v>0</v>
      </c>
      <c r="I402" s="372">
        <f ca="1">+'Tesorería mensual'!M46</f>
        <v>0</v>
      </c>
      <c r="J402" s="372">
        <f ca="1">+'Tesorería mensual'!N46</f>
        <v>0</v>
      </c>
    </row>
    <row r="403" spans="1:19">
      <c r="B403" s="186" t="str">
        <f t="shared" si="17"/>
        <v>SALDO FINAL</v>
      </c>
      <c r="C403" s="181"/>
      <c r="D403" s="117"/>
      <c r="E403" s="372">
        <f ca="1">+'Tesorería mensual'!I47</f>
        <v>0</v>
      </c>
      <c r="F403" s="372">
        <f ca="1">+'Tesorería mensual'!J47</f>
        <v>0</v>
      </c>
      <c r="G403" s="372">
        <f ca="1">+'Tesorería mensual'!K47</f>
        <v>0</v>
      </c>
      <c r="H403" s="372">
        <f ca="1">+'Tesorería mensual'!L47</f>
        <v>0</v>
      </c>
      <c r="I403" s="372">
        <f ca="1">+'Tesorería mensual'!M47</f>
        <v>0</v>
      </c>
      <c r="J403" s="372">
        <f ca="1">+'Tesorería mensual'!N47</f>
        <v>0</v>
      </c>
    </row>
    <row r="404" spans="1:19" ht="164.25" customHeight="1">
      <c r="B404" s="181"/>
      <c r="C404" s="181"/>
      <c r="D404" s="181"/>
      <c r="E404" s="181"/>
      <c r="F404" s="181"/>
      <c r="G404" s="181"/>
      <c r="H404" s="181"/>
      <c r="I404" s="181"/>
      <c r="J404" s="181"/>
    </row>
    <row r="405" spans="1:19">
      <c r="B405" s="196" t="s">
        <v>292</v>
      </c>
      <c r="C405" s="181"/>
      <c r="D405" s="181"/>
      <c r="E405" s="181"/>
      <c r="F405" s="181"/>
      <c r="G405" s="181"/>
      <c r="H405" s="181"/>
      <c r="I405" s="181"/>
      <c r="J405" s="181"/>
    </row>
    <row r="406" spans="1:19">
      <c r="B406" s="1128" t="s">
        <v>304</v>
      </c>
      <c r="C406" s="177"/>
      <c r="D406" s="177"/>
      <c r="E406" s="177"/>
      <c r="F406" s="177"/>
      <c r="G406" s="177"/>
      <c r="H406" s="177"/>
      <c r="I406" s="177"/>
      <c r="J406" s="177"/>
    </row>
    <row r="407" spans="1:19" ht="27" customHeight="1">
      <c r="B407" s="1374" t="str">
        <f>Cuestionario!C74</f>
        <v>De origen Interno</v>
      </c>
      <c r="C407" s="1374"/>
      <c r="D407" s="1374"/>
      <c r="E407" s="1374"/>
      <c r="F407" s="1374"/>
      <c r="G407" s="1374" t="str">
        <f>Cuestionario!G74</f>
        <v>De origen externo</v>
      </c>
      <c r="H407" s="1374"/>
      <c r="I407" s="1374"/>
      <c r="J407" s="1374"/>
    </row>
    <row r="408" spans="1:19">
      <c r="B408" s="1375" t="str">
        <f>Cuestionario!C75</f>
        <v>Debilidades</v>
      </c>
      <c r="C408" s="1375"/>
      <c r="D408" s="1375"/>
      <c r="E408" s="1375"/>
      <c r="F408" s="1375"/>
      <c r="G408" s="1375" t="str">
        <f>Cuestionario!G75</f>
        <v>Amenazas</v>
      </c>
      <c r="H408" s="1375"/>
      <c r="I408" s="1375"/>
      <c r="J408" s="1375"/>
    </row>
    <row r="409" spans="1:19" ht="99.75" customHeight="1">
      <c r="A409" s="1129" t="str">
        <f>Cuestionario!B76</f>
        <v>Puntos débiles</v>
      </c>
      <c r="B409" s="1373">
        <f>Cuestionario!C76</f>
        <v>1</v>
      </c>
      <c r="C409" s="1373"/>
      <c r="D409" s="1373"/>
      <c r="E409" s="1373"/>
      <c r="F409" s="1373"/>
      <c r="G409" s="1373">
        <f>Cuestionario!G76</f>
        <v>2</v>
      </c>
      <c r="H409" s="1373"/>
      <c r="I409" s="1373"/>
      <c r="J409" s="1373"/>
      <c r="S409" s="117" t="s">
        <v>46</v>
      </c>
    </row>
    <row r="410" spans="1:19">
      <c r="B410" s="1375" t="str">
        <f>Cuestionario!C77</f>
        <v>Fortalezas</v>
      </c>
      <c r="C410" s="1375"/>
      <c r="D410" s="1375"/>
      <c r="E410" s="1375"/>
      <c r="F410" s="1375"/>
      <c r="G410" s="1375" t="str">
        <f>Cuestionario!G77</f>
        <v>Oportunidades</v>
      </c>
      <c r="H410" s="1375"/>
      <c r="I410" s="1375"/>
      <c r="J410" s="1375"/>
    </row>
    <row r="411" spans="1:19" ht="118.5" customHeight="1">
      <c r="A411" s="1129" t="str">
        <f>Cuestionario!B78</f>
        <v>Puntos Fuertes</v>
      </c>
      <c r="B411" s="1373">
        <f>Cuestionario!C78</f>
        <v>3</v>
      </c>
      <c r="C411" s="1373"/>
      <c r="D411" s="1373"/>
      <c r="E411" s="1373"/>
      <c r="F411" s="1373"/>
      <c r="G411" s="1373">
        <f>Cuestionario!G78</f>
        <v>4</v>
      </c>
      <c r="H411" s="1373"/>
      <c r="I411" s="1373"/>
      <c r="J411" s="1373"/>
    </row>
    <row r="412" spans="1:19" ht="43.5" customHeight="1">
      <c r="B412" s="1127"/>
      <c r="C412" s="1127"/>
      <c r="D412" s="1127"/>
      <c r="E412" s="1127"/>
      <c r="F412" s="1127"/>
      <c r="G412" s="1127"/>
      <c r="H412" s="1127"/>
      <c r="I412" s="1127"/>
      <c r="J412" s="1127"/>
    </row>
    <row r="413" spans="1:19">
      <c r="B413" s="447"/>
      <c r="C413" s="181"/>
      <c r="D413" s="181"/>
      <c r="E413" s="181"/>
      <c r="F413" s="181"/>
      <c r="G413" s="181"/>
      <c r="H413" s="181"/>
      <c r="I413" s="181"/>
      <c r="J413" s="181"/>
    </row>
    <row r="414" spans="1:19" ht="55.5" customHeight="1">
      <c r="B414" s="1127"/>
      <c r="C414" s="1127"/>
      <c r="D414" s="1127"/>
      <c r="E414" s="1127"/>
      <c r="F414" s="1127"/>
      <c r="G414" s="1127"/>
      <c r="H414" s="1127"/>
      <c r="I414" s="1127"/>
      <c r="J414" s="1127"/>
    </row>
    <row r="415" spans="1:19">
      <c r="B415" s="181"/>
      <c r="C415" s="181"/>
      <c r="D415" s="181"/>
      <c r="E415" s="181"/>
      <c r="F415" s="181"/>
      <c r="G415" s="181"/>
      <c r="H415" s="181"/>
      <c r="I415" s="181"/>
      <c r="J415" s="181"/>
    </row>
    <row r="416" spans="1:19">
      <c r="B416" s="181"/>
      <c r="C416" s="181"/>
      <c r="D416" s="181"/>
      <c r="E416" s="181"/>
      <c r="F416" s="181"/>
      <c r="G416" s="181"/>
      <c r="H416" s="181"/>
      <c r="I416" s="181"/>
      <c r="J416" s="181"/>
    </row>
    <row r="417" spans="2:10">
      <c r="B417" s="181"/>
      <c r="C417" s="181"/>
      <c r="D417" s="181"/>
      <c r="E417" s="181"/>
      <c r="F417" s="181"/>
      <c r="G417" s="181"/>
      <c r="H417" s="181"/>
      <c r="I417" s="181"/>
      <c r="J417" s="181"/>
    </row>
    <row r="418" spans="2:10">
      <c r="B418" s="181"/>
      <c r="C418" s="181"/>
      <c r="D418" s="181"/>
      <c r="E418" s="181"/>
      <c r="F418" s="181"/>
      <c r="G418" s="181"/>
      <c r="H418" s="181"/>
      <c r="I418" s="181"/>
      <c r="J418" s="181"/>
    </row>
    <row r="419" spans="2:10">
      <c r="B419" s="181"/>
      <c r="C419" s="181"/>
      <c r="D419" s="181"/>
      <c r="E419" s="181"/>
      <c r="F419" s="181"/>
      <c r="G419" s="181"/>
      <c r="H419" s="181"/>
      <c r="I419" s="181"/>
      <c r="J419" s="181"/>
    </row>
    <row r="420" spans="2:10">
      <c r="B420" s="181"/>
      <c r="C420" s="181"/>
      <c r="D420" s="181"/>
      <c r="E420" s="181"/>
      <c r="F420" s="181"/>
      <c r="G420" s="181"/>
      <c r="H420" s="181"/>
      <c r="I420" s="181"/>
      <c r="J420" s="181"/>
    </row>
    <row r="421" spans="2:10">
      <c r="B421" s="181"/>
      <c r="C421" s="181"/>
      <c r="D421" s="181"/>
      <c r="E421" s="181"/>
      <c r="F421" s="181"/>
      <c r="G421" s="181"/>
      <c r="H421" s="181"/>
      <c r="I421" s="181"/>
      <c r="J421" s="181"/>
    </row>
    <row r="422" spans="2:10">
      <c r="B422" s="181"/>
      <c r="C422" s="181"/>
      <c r="D422" s="181"/>
      <c r="E422" s="181"/>
      <c r="F422" s="181"/>
      <c r="G422" s="181"/>
      <c r="H422" s="181"/>
      <c r="I422" s="181"/>
      <c r="J422" s="181"/>
    </row>
    <row r="423" spans="2:10">
      <c r="B423" s="181"/>
      <c r="C423" s="181"/>
      <c r="D423" s="181"/>
      <c r="E423" s="181"/>
      <c r="F423" s="181"/>
      <c r="G423" s="181"/>
      <c r="H423" s="181"/>
      <c r="I423" s="181"/>
      <c r="J423" s="181"/>
    </row>
    <row r="424" spans="2:10">
      <c r="B424" s="181"/>
      <c r="C424" s="181"/>
      <c r="D424" s="181"/>
      <c r="E424" s="181"/>
      <c r="F424" s="181"/>
      <c r="G424" s="181"/>
      <c r="H424" s="181"/>
      <c r="I424" s="181"/>
      <c r="J424" s="181"/>
    </row>
    <row r="425" spans="2:10">
      <c r="B425" s="181"/>
      <c r="C425" s="181"/>
      <c r="D425" s="181"/>
      <c r="E425" s="181"/>
      <c r="F425" s="181"/>
      <c r="G425" s="181"/>
      <c r="H425" s="181"/>
      <c r="I425" s="181"/>
      <c r="J425" s="181"/>
    </row>
    <row r="426" spans="2:10">
      <c r="B426" s="181"/>
      <c r="C426" s="181"/>
      <c r="D426" s="181"/>
      <c r="E426" s="181"/>
      <c r="F426" s="181"/>
      <c r="G426" s="181"/>
      <c r="H426" s="181"/>
      <c r="I426" s="181"/>
      <c r="J426" s="181"/>
    </row>
    <row r="427" spans="2:10">
      <c r="B427" s="181"/>
      <c r="C427" s="181"/>
      <c r="D427" s="181"/>
      <c r="E427" s="181"/>
      <c r="F427" s="181"/>
      <c r="G427" s="181"/>
      <c r="H427" s="181"/>
      <c r="I427" s="181"/>
      <c r="J427" s="181"/>
    </row>
    <row r="428" spans="2:10">
      <c r="B428" s="181"/>
      <c r="C428" s="181"/>
      <c r="D428" s="181"/>
      <c r="E428" s="181"/>
      <c r="F428" s="181"/>
      <c r="G428" s="181"/>
      <c r="H428" s="181"/>
      <c r="I428" s="181"/>
      <c r="J428" s="181"/>
    </row>
    <row r="429" spans="2:10">
      <c r="B429" s="181"/>
      <c r="C429" s="181"/>
      <c r="D429" s="181"/>
      <c r="E429" s="181"/>
      <c r="F429" s="181"/>
      <c r="G429" s="181"/>
      <c r="H429" s="181"/>
      <c r="I429" s="181"/>
      <c r="J429" s="181"/>
    </row>
    <row r="430" spans="2:10">
      <c r="B430" s="181"/>
      <c r="C430" s="181"/>
      <c r="D430" s="181"/>
      <c r="E430" s="181"/>
      <c r="F430" s="181"/>
      <c r="G430" s="181"/>
      <c r="H430" s="181"/>
      <c r="I430" s="181"/>
      <c r="J430" s="181"/>
    </row>
    <row r="431" spans="2:10">
      <c r="B431" s="181"/>
      <c r="C431" s="181"/>
      <c r="D431" s="181"/>
      <c r="E431" s="181"/>
      <c r="F431" s="181"/>
      <c r="G431" s="181"/>
      <c r="H431" s="181"/>
      <c r="I431" s="181"/>
      <c r="J431" s="181"/>
    </row>
    <row r="432" spans="2:10">
      <c r="B432" s="181"/>
      <c r="C432" s="181"/>
      <c r="D432" s="181"/>
      <c r="E432" s="181"/>
      <c r="F432" s="181"/>
      <c r="G432" s="181"/>
      <c r="H432" s="181"/>
      <c r="I432" s="181"/>
      <c r="J432" s="181"/>
    </row>
    <row r="433" spans="2:10">
      <c r="B433" s="181"/>
      <c r="C433" s="181"/>
      <c r="D433" s="181"/>
      <c r="E433" s="181"/>
      <c r="F433" s="181"/>
      <c r="G433" s="181"/>
      <c r="H433" s="181"/>
      <c r="I433" s="181"/>
      <c r="J433" s="181"/>
    </row>
    <row r="434" spans="2:10">
      <c r="B434" s="181"/>
      <c r="C434" s="181"/>
      <c r="D434" s="181"/>
      <c r="E434" s="181"/>
      <c r="F434" s="181"/>
      <c r="G434" s="181"/>
      <c r="H434" s="181"/>
      <c r="I434" s="181"/>
      <c r="J434" s="181"/>
    </row>
    <row r="435" spans="2:10">
      <c r="B435" s="181"/>
      <c r="C435" s="181"/>
      <c r="D435" s="181"/>
      <c r="E435" s="181"/>
      <c r="F435" s="181"/>
      <c r="G435" s="181"/>
      <c r="H435" s="181"/>
      <c r="I435" s="181"/>
      <c r="J435" s="181"/>
    </row>
    <row r="436" spans="2:10">
      <c r="B436" s="181"/>
      <c r="C436" s="181"/>
      <c r="D436" s="181"/>
      <c r="E436" s="181"/>
      <c r="F436" s="181"/>
      <c r="G436" s="181"/>
      <c r="H436" s="181"/>
      <c r="I436" s="181"/>
      <c r="J436" s="181"/>
    </row>
    <row r="437" spans="2:10">
      <c r="B437" s="181"/>
      <c r="C437" s="181"/>
      <c r="D437" s="181"/>
      <c r="E437" s="181"/>
      <c r="F437" s="181"/>
      <c r="G437" s="181"/>
      <c r="H437" s="181"/>
      <c r="I437" s="181"/>
      <c r="J437" s="181"/>
    </row>
    <row r="438" spans="2:10">
      <c r="B438" s="181"/>
      <c r="C438" s="181"/>
      <c r="D438" s="181"/>
      <c r="E438" s="181"/>
      <c r="F438" s="181"/>
      <c r="G438" s="181"/>
      <c r="H438" s="181"/>
      <c r="I438" s="181"/>
      <c r="J438" s="181"/>
    </row>
    <row r="439" spans="2:10">
      <c r="B439" s="181"/>
      <c r="C439" s="181"/>
      <c r="D439" s="181"/>
      <c r="E439" s="181"/>
      <c r="F439" s="181"/>
      <c r="G439" s="181"/>
      <c r="H439" s="181"/>
      <c r="I439" s="181"/>
      <c r="J439" s="181"/>
    </row>
    <row r="440" spans="2:10">
      <c r="B440" s="181"/>
      <c r="C440" s="181"/>
      <c r="D440" s="181"/>
      <c r="E440" s="181"/>
      <c r="F440" s="181"/>
      <c r="G440" s="181"/>
      <c r="H440" s="181"/>
      <c r="I440" s="181"/>
      <c r="J440" s="181"/>
    </row>
    <row r="441" spans="2:10">
      <c r="B441" s="181"/>
      <c r="C441" s="181"/>
      <c r="D441" s="181"/>
      <c r="E441" s="181"/>
      <c r="F441" s="181"/>
      <c r="G441" s="181"/>
      <c r="H441" s="181"/>
      <c r="I441" s="181"/>
      <c r="J441" s="181"/>
    </row>
    <row r="442" spans="2:10">
      <c r="B442" s="181"/>
      <c r="C442" s="181"/>
      <c r="D442" s="181"/>
      <c r="E442" s="181"/>
      <c r="F442" s="181"/>
      <c r="G442" s="181"/>
      <c r="H442" s="181"/>
      <c r="I442" s="181"/>
      <c r="J442" s="181"/>
    </row>
    <row r="443" spans="2:10">
      <c r="B443" s="181"/>
      <c r="C443" s="181"/>
      <c r="D443" s="181"/>
      <c r="E443" s="181"/>
      <c r="F443" s="181"/>
      <c r="G443" s="181"/>
      <c r="H443" s="181"/>
      <c r="I443" s="181"/>
      <c r="J443" s="181"/>
    </row>
    <row r="444" spans="2:10">
      <c r="B444" s="181"/>
      <c r="C444" s="181"/>
      <c r="D444" s="181"/>
      <c r="E444" s="181"/>
      <c r="F444" s="181"/>
      <c r="G444" s="181"/>
      <c r="H444" s="181"/>
      <c r="I444" s="181"/>
      <c r="J444" s="181"/>
    </row>
    <row r="445" spans="2:10">
      <c r="B445" s="181"/>
      <c r="C445" s="181"/>
      <c r="D445" s="181"/>
      <c r="E445" s="181"/>
      <c r="F445" s="181"/>
      <c r="G445" s="181"/>
      <c r="H445" s="181"/>
      <c r="I445" s="181"/>
      <c r="J445" s="181"/>
    </row>
    <row r="446" spans="2:10">
      <c r="B446" s="181"/>
      <c r="C446" s="181"/>
      <c r="D446" s="181"/>
      <c r="E446" s="181"/>
      <c r="F446" s="181"/>
      <c r="G446" s="181"/>
      <c r="H446" s="181"/>
      <c r="I446" s="181"/>
      <c r="J446" s="181"/>
    </row>
    <row r="447" spans="2:10">
      <c r="B447" s="181"/>
      <c r="C447" s="181"/>
      <c r="D447" s="181"/>
      <c r="E447" s="181"/>
      <c r="F447" s="181"/>
      <c r="G447" s="181"/>
      <c r="H447" s="181"/>
      <c r="I447" s="181"/>
      <c r="J447" s="181"/>
    </row>
    <row r="448" spans="2:10">
      <c r="B448" s="181"/>
      <c r="C448" s="181"/>
      <c r="D448" s="181"/>
      <c r="E448" s="181"/>
      <c r="F448" s="181"/>
      <c r="G448" s="181"/>
      <c r="H448" s="181"/>
      <c r="I448" s="181"/>
      <c r="J448" s="181"/>
    </row>
    <row r="449" spans="2:10">
      <c r="B449" s="181"/>
      <c r="C449" s="181"/>
      <c r="D449" s="181"/>
      <c r="E449" s="181"/>
      <c r="F449" s="181"/>
      <c r="G449" s="181"/>
      <c r="H449" s="181"/>
      <c r="I449" s="181"/>
      <c r="J449" s="181"/>
    </row>
    <row r="450" spans="2:10">
      <c r="B450" s="181"/>
      <c r="C450" s="181"/>
      <c r="D450" s="181"/>
      <c r="E450" s="181"/>
      <c r="F450" s="181"/>
      <c r="G450" s="181"/>
      <c r="H450" s="181"/>
      <c r="I450" s="181"/>
      <c r="J450" s="181"/>
    </row>
    <row r="451" spans="2:10">
      <c r="B451" s="181"/>
      <c r="C451" s="181"/>
      <c r="D451" s="181"/>
      <c r="E451" s="181"/>
      <c r="F451" s="181"/>
      <c r="G451" s="181"/>
      <c r="H451" s="181"/>
      <c r="I451" s="181"/>
      <c r="J451" s="181"/>
    </row>
    <row r="452" spans="2:10">
      <c r="B452" s="181"/>
      <c r="C452" s="181"/>
      <c r="D452" s="181"/>
      <c r="E452" s="181"/>
      <c r="F452" s="181"/>
      <c r="G452" s="181"/>
      <c r="H452" s="181"/>
      <c r="I452" s="181"/>
      <c r="J452" s="181"/>
    </row>
    <row r="453" spans="2:10">
      <c r="B453" s="181"/>
      <c r="C453" s="181"/>
      <c r="D453" s="181"/>
      <c r="E453" s="181"/>
      <c r="F453" s="181"/>
      <c r="G453" s="181"/>
      <c r="H453" s="181"/>
      <c r="I453" s="181"/>
      <c r="J453" s="181"/>
    </row>
    <row r="454" spans="2:10">
      <c r="B454" s="181"/>
      <c r="C454" s="181"/>
      <c r="D454" s="181"/>
      <c r="E454" s="181"/>
      <c r="F454" s="181"/>
      <c r="G454" s="181"/>
      <c r="H454" s="181"/>
      <c r="I454" s="181"/>
      <c r="J454" s="181"/>
    </row>
    <row r="455" spans="2:10">
      <c r="B455" s="181"/>
      <c r="C455" s="181"/>
      <c r="D455" s="181"/>
      <c r="E455" s="181"/>
      <c r="F455" s="181"/>
      <c r="G455" s="181"/>
      <c r="H455" s="181"/>
      <c r="I455" s="181"/>
      <c r="J455" s="181"/>
    </row>
    <row r="456" spans="2:10">
      <c r="B456" s="181"/>
      <c r="C456" s="181"/>
      <c r="D456" s="181"/>
      <c r="E456" s="181"/>
      <c r="F456" s="181"/>
      <c r="G456" s="181"/>
      <c r="H456" s="181"/>
      <c r="I456" s="181"/>
      <c r="J456" s="181"/>
    </row>
    <row r="457" spans="2:10">
      <c r="B457" s="181"/>
      <c r="C457" s="181"/>
      <c r="D457" s="181"/>
      <c r="E457" s="181"/>
      <c r="F457" s="181"/>
      <c r="G457" s="181"/>
      <c r="H457" s="181"/>
      <c r="I457" s="181"/>
      <c r="J457" s="181"/>
    </row>
    <row r="458" spans="2:10">
      <c r="B458" s="181"/>
      <c r="C458" s="181"/>
      <c r="D458" s="181"/>
      <c r="E458" s="181"/>
      <c r="F458" s="181"/>
      <c r="G458" s="181"/>
      <c r="H458" s="181"/>
      <c r="I458" s="181"/>
      <c r="J458" s="181"/>
    </row>
    <row r="459" spans="2:10">
      <c r="B459" s="181"/>
      <c r="C459" s="181"/>
      <c r="D459" s="181"/>
      <c r="E459" s="181"/>
      <c r="F459" s="181"/>
      <c r="G459" s="181"/>
      <c r="H459" s="181"/>
      <c r="I459" s="181"/>
      <c r="J459" s="181"/>
    </row>
    <row r="460" spans="2:10">
      <c r="B460" s="181"/>
      <c r="C460" s="181"/>
      <c r="D460" s="181"/>
      <c r="E460" s="181"/>
      <c r="F460" s="181"/>
      <c r="G460" s="181"/>
      <c r="H460" s="181"/>
      <c r="I460" s="181"/>
      <c r="J460" s="181"/>
    </row>
    <row r="461" spans="2:10">
      <c r="B461" s="181"/>
      <c r="C461" s="181"/>
      <c r="D461" s="181"/>
      <c r="E461" s="181"/>
      <c r="F461" s="181"/>
      <c r="G461" s="181"/>
      <c r="H461" s="181"/>
      <c r="I461" s="181"/>
      <c r="J461" s="181"/>
    </row>
    <row r="462" spans="2:10">
      <c r="B462" s="181"/>
      <c r="C462" s="181"/>
      <c r="D462" s="181"/>
      <c r="E462" s="181"/>
      <c r="F462" s="181"/>
      <c r="G462" s="181"/>
      <c r="H462" s="181"/>
      <c r="I462" s="181"/>
      <c r="J462" s="181"/>
    </row>
    <row r="463" spans="2:10">
      <c r="B463" s="181"/>
      <c r="C463" s="181"/>
      <c r="D463" s="181"/>
      <c r="E463" s="181"/>
      <c r="F463" s="181"/>
      <c r="G463" s="181"/>
      <c r="H463" s="181"/>
      <c r="I463" s="181"/>
      <c r="J463" s="181"/>
    </row>
    <row r="464" spans="2:10">
      <c r="B464" s="181"/>
      <c r="C464" s="181"/>
      <c r="D464" s="181"/>
      <c r="E464" s="181"/>
      <c r="F464" s="181"/>
      <c r="G464" s="181"/>
      <c r="H464" s="181"/>
      <c r="I464" s="181"/>
      <c r="J464" s="181"/>
    </row>
    <row r="465" spans="2:10">
      <c r="B465" s="181"/>
      <c r="C465" s="181"/>
      <c r="D465" s="181"/>
      <c r="E465" s="181"/>
      <c r="F465" s="181"/>
      <c r="G465" s="181"/>
      <c r="H465" s="181"/>
      <c r="I465" s="181"/>
      <c r="J465" s="181"/>
    </row>
    <row r="466" spans="2:10">
      <c r="B466" s="181"/>
      <c r="C466" s="181"/>
      <c r="D466" s="181"/>
      <c r="E466" s="181"/>
      <c r="F466" s="181"/>
      <c r="G466" s="181"/>
      <c r="H466" s="181"/>
      <c r="I466" s="181"/>
      <c r="J466" s="181"/>
    </row>
    <row r="467" spans="2:10">
      <c r="B467" s="181"/>
      <c r="C467" s="181"/>
      <c r="D467" s="181"/>
      <c r="E467" s="181"/>
      <c r="F467" s="181"/>
      <c r="G467" s="181"/>
      <c r="H467" s="181"/>
      <c r="I467" s="181"/>
      <c r="J467" s="181"/>
    </row>
    <row r="468" spans="2:10">
      <c r="B468" s="181"/>
      <c r="C468" s="181"/>
      <c r="D468" s="181"/>
      <c r="E468" s="181"/>
      <c r="F468" s="181"/>
      <c r="G468" s="181"/>
      <c r="H468" s="181"/>
      <c r="I468" s="181"/>
      <c r="J468" s="181"/>
    </row>
    <row r="469" spans="2:10">
      <c r="B469" s="181"/>
      <c r="C469" s="181"/>
      <c r="D469" s="181"/>
      <c r="E469" s="181"/>
      <c r="F469" s="181"/>
      <c r="G469" s="181"/>
      <c r="H469" s="181"/>
      <c r="I469" s="181"/>
      <c r="J469" s="181"/>
    </row>
    <row r="470" spans="2:10">
      <c r="B470" s="181"/>
      <c r="C470" s="181"/>
      <c r="D470" s="181"/>
      <c r="E470" s="181"/>
      <c r="F470" s="181"/>
      <c r="G470" s="181"/>
      <c r="H470" s="181"/>
      <c r="I470" s="181"/>
      <c r="J470" s="181"/>
    </row>
    <row r="471" spans="2:10">
      <c r="B471" s="181"/>
      <c r="C471" s="181"/>
      <c r="D471" s="181"/>
      <c r="E471" s="181"/>
      <c r="F471" s="181"/>
      <c r="G471" s="181"/>
      <c r="H471" s="181"/>
      <c r="I471" s="181"/>
      <c r="J471" s="181"/>
    </row>
    <row r="472" spans="2:10">
      <c r="B472" s="181"/>
      <c r="C472" s="181"/>
      <c r="D472" s="181"/>
      <c r="E472" s="181"/>
      <c r="F472" s="181"/>
      <c r="G472" s="181"/>
      <c r="H472" s="181"/>
      <c r="I472" s="181"/>
      <c r="J472" s="181"/>
    </row>
    <row r="473" spans="2:10">
      <c r="B473" s="181"/>
      <c r="C473" s="181"/>
      <c r="D473" s="181"/>
      <c r="E473" s="181"/>
      <c r="F473" s="181"/>
      <c r="G473" s="181"/>
      <c r="H473" s="181"/>
      <c r="I473" s="181"/>
      <c r="J473" s="181"/>
    </row>
    <row r="474" spans="2:10">
      <c r="B474" s="181"/>
      <c r="C474" s="181"/>
      <c r="D474" s="181"/>
      <c r="E474" s="181"/>
      <c r="F474" s="181"/>
      <c r="G474" s="181"/>
      <c r="H474" s="181"/>
      <c r="I474" s="181"/>
      <c r="J474" s="181"/>
    </row>
    <row r="475" spans="2:10">
      <c r="B475" s="181"/>
      <c r="C475" s="181"/>
      <c r="D475" s="181"/>
      <c r="E475" s="181"/>
      <c r="F475" s="181"/>
      <c r="G475" s="181"/>
      <c r="H475" s="181"/>
      <c r="I475" s="181"/>
      <c r="J475" s="181"/>
    </row>
    <row r="476" spans="2:10">
      <c r="B476" s="181"/>
      <c r="C476" s="181"/>
      <c r="D476" s="181"/>
      <c r="E476" s="181"/>
      <c r="F476" s="181"/>
      <c r="G476" s="181"/>
      <c r="H476" s="181"/>
      <c r="I476" s="181"/>
      <c r="J476" s="181"/>
    </row>
    <row r="477" spans="2:10">
      <c r="B477" s="181"/>
      <c r="C477" s="181"/>
      <c r="D477" s="181"/>
      <c r="E477" s="181"/>
      <c r="F477" s="181"/>
      <c r="G477" s="181"/>
      <c r="H477" s="181"/>
      <c r="I477" s="181"/>
      <c r="J477" s="181"/>
    </row>
    <row r="478" spans="2:10">
      <c r="B478" s="181"/>
      <c r="C478" s="181"/>
      <c r="D478" s="181"/>
      <c r="E478" s="181"/>
      <c r="F478" s="181"/>
      <c r="G478" s="181"/>
      <c r="H478" s="181"/>
      <c r="I478" s="181"/>
      <c r="J478" s="181"/>
    </row>
    <row r="479" spans="2:10">
      <c r="B479" s="181"/>
      <c r="C479" s="181"/>
      <c r="D479" s="181"/>
      <c r="E479" s="181"/>
      <c r="F479" s="181"/>
      <c r="G479" s="181"/>
      <c r="H479" s="181"/>
      <c r="I479" s="181"/>
      <c r="J479" s="181"/>
    </row>
    <row r="480" spans="2:10">
      <c r="B480" s="181"/>
      <c r="C480" s="181"/>
      <c r="D480" s="181"/>
      <c r="E480" s="181"/>
      <c r="F480" s="181"/>
      <c r="G480" s="181"/>
      <c r="H480" s="181"/>
      <c r="I480" s="181"/>
      <c r="J480" s="181"/>
    </row>
    <row r="481" spans="2:10">
      <c r="B481" s="181"/>
      <c r="C481" s="181"/>
      <c r="D481" s="181"/>
      <c r="E481" s="181"/>
      <c r="F481" s="181"/>
      <c r="G481" s="181"/>
      <c r="H481" s="181"/>
      <c r="I481" s="181"/>
      <c r="J481" s="181"/>
    </row>
    <row r="482" spans="2:10">
      <c r="B482" s="181"/>
      <c r="C482" s="181"/>
      <c r="D482" s="181"/>
      <c r="E482" s="181"/>
      <c r="F482" s="181"/>
      <c r="G482" s="181"/>
      <c r="H482" s="181"/>
      <c r="I482" s="181"/>
      <c r="J482" s="181"/>
    </row>
    <row r="483" spans="2:10">
      <c r="B483" s="181"/>
      <c r="C483" s="181"/>
      <c r="D483" s="181"/>
      <c r="E483" s="181"/>
      <c r="F483" s="181"/>
      <c r="G483" s="181"/>
      <c r="H483" s="181"/>
      <c r="I483" s="181"/>
      <c r="J483" s="181"/>
    </row>
    <row r="484" spans="2:10">
      <c r="B484" s="181"/>
      <c r="C484" s="181"/>
      <c r="D484" s="181"/>
      <c r="E484" s="181"/>
      <c r="F484" s="181"/>
      <c r="G484" s="181"/>
      <c r="H484" s="181"/>
      <c r="I484" s="181"/>
      <c r="J484" s="181"/>
    </row>
    <row r="485" spans="2:10">
      <c r="B485" s="181"/>
      <c r="C485" s="181"/>
      <c r="D485" s="181"/>
      <c r="E485" s="181"/>
      <c r="F485" s="181"/>
      <c r="G485" s="181"/>
      <c r="H485" s="181"/>
      <c r="I485" s="181"/>
      <c r="J485" s="181"/>
    </row>
    <row r="486" spans="2:10">
      <c r="B486" s="181"/>
      <c r="C486" s="181"/>
      <c r="D486" s="181"/>
      <c r="E486" s="181"/>
      <c r="F486" s="181"/>
      <c r="G486" s="181"/>
      <c r="H486" s="181"/>
      <c r="I486" s="181"/>
      <c r="J486" s="181"/>
    </row>
    <row r="487" spans="2:10">
      <c r="B487" s="181"/>
      <c r="C487" s="181"/>
      <c r="D487" s="181"/>
      <c r="E487" s="181"/>
      <c r="F487" s="181"/>
      <c r="G487" s="181"/>
      <c r="H487" s="181"/>
      <c r="I487" s="181"/>
      <c r="J487" s="181"/>
    </row>
    <row r="488" spans="2:10">
      <c r="B488" s="181"/>
      <c r="C488" s="181"/>
      <c r="D488" s="181"/>
      <c r="E488" s="181"/>
      <c r="F488" s="181"/>
      <c r="G488" s="181"/>
      <c r="H488" s="181"/>
      <c r="I488" s="181"/>
      <c r="J488" s="181"/>
    </row>
    <row r="489" spans="2:10">
      <c r="B489" s="181"/>
      <c r="C489" s="181"/>
      <c r="D489" s="181"/>
      <c r="E489" s="181"/>
      <c r="F489" s="181"/>
      <c r="G489" s="181"/>
      <c r="H489" s="181"/>
      <c r="I489" s="181"/>
      <c r="J489" s="181"/>
    </row>
    <row r="490" spans="2:10">
      <c r="B490" s="181"/>
      <c r="C490" s="181"/>
      <c r="D490" s="181"/>
      <c r="E490" s="181"/>
      <c r="F490" s="181"/>
      <c r="G490" s="181"/>
      <c r="H490" s="181"/>
      <c r="I490" s="181"/>
      <c r="J490" s="181"/>
    </row>
    <row r="491" spans="2:10">
      <c r="B491" s="181"/>
      <c r="C491" s="181"/>
      <c r="D491" s="181"/>
      <c r="E491" s="181"/>
      <c r="F491" s="181"/>
      <c r="G491" s="181"/>
      <c r="H491" s="181"/>
      <c r="I491" s="181"/>
      <c r="J491" s="181"/>
    </row>
    <row r="492" spans="2:10">
      <c r="B492" s="181"/>
      <c r="C492" s="181"/>
      <c r="D492" s="181"/>
      <c r="E492" s="181"/>
      <c r="F492" s="181"/>
      <c r="G492" s="181"/>
      <c r="H492" s="181"/>
      <c r="I492" s="181"/>
      <c r="J492" s="181"/>
    </row>
    <row r="493" spans="2:10">
      <c r="B493" s="181"/>
      <c r="C493" s="181"/>
      <c r="D493" s="181"/>
      <c r="E493" s="181"/>
      <c r="F493" s="181"/>
      <c r="G493" s="181"/>
      <c r="H493" s="181"/>
      <c r="I493" s="181"/>
      <c r="J493" s="181"/>
    </row>
    <row r="494" spans="2:10">
      <c r="B494" s="181"/>
      <c r="C494" s="181"/>
      <c r="D494" s="181"/>
      <c r="E494" s="181"/>
      <c r="F494" s="181"/>
      <c r="G494" s="181"/>
      <c r="H494" s="181"/>
      <c r="I494" s="181"/>
      <c r="J494" s="181"/>
    </row>
    <row r="495" spans="2:10">
      <c r="B495" s="181"/>
      <c r="C495" s="181"/>
      <c r="D495" s="181"/>
      <c r="E495" s="181"/>
      <c r="F495" s="181"/>
      <c r="G495" s="181"/>
      <c r="H495" s="181"/>
      <c r="I495" s="181"/>
      <c r="J495" s="181"/>
    </row>
    <row r="496" spans="2:10">
      <c r="B496" s="181"/>
      <c r="C496" s="181"/>
      <c r="D496" s="181"/>
      <c r="E496" s="181"/>
      <c r="F496" s="181"/>
      <c r="G496" s="181"/>
      <c r="H496" s="181"/>
      <c r="I496" s="181"/>
      <c r="J496" s="181"/>
    </row>
    <row r="497" spans="2:10">
      <c r="B497" s="181"/>
      <c r="C497" s="181"/>
      <c r="D497" s="181"/>
      <c r="E497" s="181"/>
      <c r="F497" s="181"/>
      <c r="G497" s="181"/>
      <c r="H497" s="181"/>
      <c r="I497" s="181"/>
      <c r="J497" s="181"/>
    </row>
    <row r="498" spans="2:10">
      <c r="B498" s="181"/>
      <c r="C498" s="181"/>
      <c r="D498" s="181"/>
      <c r="E498" s="181"/>
      <c r="F498" s="181"/>
      <c r="G498" s="181"/>
      <c r="H498" s="181"/>
      <c r="I498" s="181"/>
      <c r="J498" s="181"/>
    </row>
    <row r="499" spans="2:10">
      <c r="B499" s="181"/>
      <c r="C499" s="181"/>
      <c r="D499" s="181"/>
      <c r="E499" s="181"/>
      <c r="F499" s="181"/>
      <c r="G499" s="181"/>
      <c r="H499" s="181"/>
      <c r="I499" s="181"/>
      <c r="J499" s="181"/>
    </row>
    <row r="500" spans="2:10">
      <c r="B500" s="181"/>
      <c r="C500" s="181"/>
      <c r="D500" s="181"/>
      <c r="E500" s="181"/>
      <c r="F500" s="181"/>
      <c r="G500" s="181"/>
      <c r="H500" s="181"/>
      <c r="I500" s="181"/>
      <c r="J500" s="181"/>
    </row>
    <row r="501" spans="2:10">
      <c r="B501" s="181"/>
      <c r="C501" s="181"/>
      <c r="D501" s="181"/>
      <c r="E501" s="181"/>
      <c r="F501" s="181"/>
      <c r="G501" s="181"/>
      <c r="H501" s="181"/>
      <c r="I501" s="181"/>
      <c r="J501" s="181"/>
    </row>
    <row r="502" spans="2:10">
      <c r="B502" s="181"/>
      <c r="C502" s="181"/>
      <c r="D502" s="181"/>
      <c r="E502" s="181"/>
      <c r="F502" s="181"/>
      <c r="G502" s="181"/>
      <c r="H502" s="181"/>
      <c r="I502" s="181"/>
      <c r="J502" s="181"/>
    </row>
    <row r="503" spans="2:10">
      <c r="B503" s="181"/>
      <c r="C503" s="181"/>
      <c r="D503" s="181"/>
      <c r="E503" s="181"/>
      <c r="F503" s="181"/>
      <c r="G503" s="181"/>
      <c r="H503" s="181"/>
      <c r="I503" s="181"/>
      <c r="J503" s="181"/>
    </row>
    <row r="504" spans="2:10">
      <c r="B504" s="181"/>
      <c r="C504" s="181"/>
      <c r="D504" s="181"/>
      <c r="E504" s="181"/>
      <c r="F504" s="181"/>
      <c r="G504" s="181"/>
      <c r="H504" s="181"/>
      <c r="I504" s="181"/>
      <c r="J504" s="181"/>
    </row>
    <row r="505" spans="2:10">
      <c r="B505" s="181"/>
      <c r="C505" s="181"/>
      <c r="D505" s="181"/>
      <c r="E505" s="181"/>
      <c r="F505" s="181"/>
      <c r="G505" s="181"/>
      <c r="H505" s="181"/>
      <c r="I505" s="181"/>
      <c r="J505" s="181"/>
    </row>
    <row r="506" spans="2:10">
      <c r="B506" s="181"/>
      <c r="C506" s="181"/>
      <c r="D506" s="181"/>
      <c r="E506" s="181"/>
      <c r="F506" s="181"/>
      <c r="G506" s="181"/>
      <c r="H506" s="181"/>
      <c r="I506" s="181"/>
      <c r="J506" s="181"/>
    </row>
    <row r="507" spans="2:10">
      <c r="B507" s="181"/>
      <c r="C507" s="181"/>
      <c r="D507" s="181"/>
      <c r="E507" s="181"/>
      <c r="F507" s="181"/>
      <c r="G507" s="181"/>
      <c r="H507" s="181"/>
      <c r="I507" s="181"/>
      <c r="J507" s="181"/>
    </row>
    <row r="508" spans="2:10">
      <c r="B508" s="181"/>
      <c r="C508" s="181"/>
      <c r="D508" s="181"/>
      <c r="E508" s="181"/>
      <c r="F508" s="181"/>
      <c r="G508" s="181"/>
      <c r="H508" s="181"/>
      <c r="I508" s="181"/>
      <c r="J508" s="181"/>
    </row>
    <row r="509" spans="2:10">
      <c r="B509" s="181"/>
      <c r="C509" s="181"/>
      <c r="D509" s="181"/>
      <c r="E509" s="181"/>
      <c r="F509" s="181"/>
      <c r="G509" s="181"/>
      <c r="H509" s="181"/>
      <c r="I509" s="181"/>
      <c r="J509" s="181"/>
    </row>
    <row r="510" spans="2:10">
      <c r="B510" s="181"/>
      <c r="C510" s="181"/>
      <c r="D510" s="181"/>
      <c r="E510" s="181"/>
      <c r="F510" s="181"/>
      <c r="G510" s="181"/>
      <c r="H510" s="181"/>
      <c r="I510" s="181"/>
      <c r="J510" s="181"/>
    </row>
    <row r="511" spans="2:10">
      <c r="B511" s="181"/>
      <c r="C511" s="181"/>
      <c r="D511" s="181"/>
      <c r="E511" s="181"/>
      <c r="F511" s="181"/>
      <c r="G511" s="181"/>
      <c r="H511" s="181"/>
      <c r="I511" s="181"/>
      <c r="J511" s="181"/>
    </row>
    <row r="512" spans="2:10">
      <c r="B512" s="181"/>
      <c r="C512" s="181"/>
      <c r="D512" s="181"/>
      <c r="E512" s="181"/>
      <c r="F512" s="181"/>
      <c r="G512" s="181"/>
      <c r="H512" s="181"/>
      <c r="I512" s="181"/>
      <c r="J512" s="181"/>
    </row>
    <row r="513" spans="2:10">
      <c r="B513" s="181"/>
      <c r="C513" s="181"/>
      <c r="D513" s="181"/>
      <c r="E513" s="181"/>
      <c r="F513" s="181"/>
      <c r="G513" s="181"/>
      <c r="H513" s="181"/>
      <c r="I513" s="181"/>
      <c r="J513" s="181"/>
    </row>
    <row r="514" spans="2:10">
      <c r="B514" s="181"/>
      <c r="C514" s="181"/>
      <c r="D514" s="181"/>
      <c r="E514" s="181"/>
      <c r="F514" s="181"/>
      <c r="G514" s="181"/>
      <c r="H514" s="181"/>
      <c r="I514" s="181"/>
      <c r="J514" s="181"/>
    </row>
    <row r="515" spans="2:10">
      <c r="B515" s="181"/>
      <c r="C515" s="181"/>
      <c r="D515" s="181"/>
      <c r="E515" s="181"/>
      <c r="F515" s="181"/>
      <c r="G515" s="181"/>
      <c r="H515" s="181"/>
      <c r="I515" s="181"/>
      <c r="J515" s="181"/>
    </row>
    <row r="516" spans="2:10">
      <c r="B516" s="181"/>
      <c r="C516" s="181"/>
      <c r="D516" s="181"/>
      <c r="E516" s="181"/>
      <c r="F516" s="181"/>
      <c r="G516" s="181"/>
      <c r="H516" s="181"/>
      <c r="I516" s="181"/>
      <c r="J516" s="181"/>
    </row>
    <row r="517" spans="2:10">
      <c r="B517" s="181"/>
      <c r="C517" s="181"/>
      <c r="D517" s="181"/>
      <c r="E517" s="181"/>
      <c r="F517" s="181"/>
      <c r="G517" s="181"/>
      <c r="H517" s="181"/>
      <c r="I517" s="181"/>
      <c r="J517" s="181"/>
    </row>
    <row r="518" spans="2:10">
      <c r="B518" s="181"/>
      <c r="C518" s="181"/>
      <c r="D518" s="181"/>
      <c r="E518" s="181"/>
      <c r="F518" s="181"/>
      <c r="G518" s="181"/>
      <c r="H518" s="181"/>
      <c r="I518" s="181"/>
      <c r="J518" s="181"/>
    </row>
    <row r="519" spans="2:10">
      <c r="B519" s="181"/>
      <c r="C519" s="181"/>
      <c r="D519" s="181"/>
      <c r="E519" s="181"/>
      <c r="F519" s="181"/>
      <c r="G519" s="181"/>
      <c r="H519" s="181"/>
      <c r="I519" s="181"/>
      <c r="J519" s="181"/>
    </row>
    <row r="520" spans="2:10">
      <c r="B520" s="181"/>
      <c r="C520" s="181"/>
      <c r="D520" s="181"/>
      <c r="E520" s="181"/>
      <c r="F520" s="181"/>
      <c r="G520" s="181"/>
      <c r="H520" s="181"/>
      <c r="I520" s="181"/>
      <c r="J520" s="181"/>
    </row>
    <row r="521" spans="2:10">
      <c r="B521" s="181"/>
      <c r="C521" s="181"/>
      <c r="D521" s="181"/>
      <c r="E521" s="181"/>
      <c r="F521" s="181"/>
      <c r="G521" s="181"/>
      <c r="H521" s="181"/>
      <c r="I521" s="181"/>
      <c r="J521" s="181"/>
    </row>
    <row r="522" spans="2:10">
      <c r="B522" s="181"/>
      <c r="C522" s="181"/>
      <c r="D522" s="181"/>
      <c r="E522" s="181"/>
      <c r="F522" s="181"/>
      <c r="G522" s="181"/>
      <c r="H522" s="181"/>
      <c r="I522" s="181"/>
      <c r="J522" s="181"/>
    </row>
    <row r="523" spans="2:10">
      <c r="B523" s="181"/>
      <c r="C523" s="181"/>
      <c r="D523" s="181"/>
      <c r="E523" s="181"/>
      <c r="F523" s="181"/>
      <c r="G523" s="181"/>
      <c r="H523" s="181"/>
      <c r="I523" s="181"/>
      <c r="J523" s="181"/>
    </row>
    <row r="524" spans="2:10">
      <c r="B524" s="181"/>
      <c r="C524" s="181"/>
      <c r="D524" s="181"/>
      <c r="E524" s="181"/>
      <c r="F524" s="181"/>
      <c r="G524" s="181"/>
      <c r="H524" s="181"/>
      <c r="I524" s="181"/>
      <c r="J524" s="181"/>
    </row>
    <row r="525" spans="2:10">
      <c r="B525" s="181"/>
      <c r="C525" s="181"/>
      <c r="D525" s="181"/>
      <c r="E525" s="181"/>
      <c r="F525" s="181"/>
      <c r="G525" s="181"/>
      <c r="H525" s="181"/>
      <c r="I525" s="181"/>
      <c r="J525" s="181"/>
    </row>
    <row r="526" spans="2:10">
      <c r="B526" s="181"/>
      <c r="C526" s="181"/>
      <c r="D526" s="181"/>
      <c r="E526" s="181"/>
      <c r="F526" s="181"/>
      <c r="G526" s="181"/>
      <c r="H526" s="181"/>
      <c r="I526" s="181"/>
      <c r="J526" s="181"/>
    </row>
    <row r="527" spans="2:10">
      <c r="B527" s="181"/>
      <c r="C527" s="181"/>
      <c r="D527" s="181"/>
      <c r="E527" s="181"/>
      <c r="F527" s="181"/>
      <c r="G527" s="181"/>
      <c r="H527" s="181"/>
      <c r="I527" s="181"/>
      <c r="J527" s="181"/>
    </row>
    <row r="528" spans="2:10">
      <c r="B528" s="181"/>
      <c r="C528" s="181"/>
      <c r="D528" s="181"/>
      <c r="E528" s="181"/>
      <c r="F528" s="181"/>
      <c r="G528" s="181"/>
      <c r="H528" s="181"/>
      <c r="I528" s="181"/>
      <c r="J528" s="181"/>
    </row>
    <row r="529" spans="2:10">
      <c r="B529" s="181"/>
      <c r="C529" s="181"/>
      <c r="D529" s="181"/>
      <c r="E529" s="181"/>
      <c r="F529" s="181"/>
      <c r="G529" s="181"/>
      <c r="H529" s="181"/>
      <c r="I529" s="181"/>
      <c r="J529" s="181"/>
    </row>
    <row r="530" spans="2:10">
      <c r="B530" s="181"/>
      <c r="C530" s="181"/>
      <c r="D530" s="181"/>
      <c r="E530" s="181"/>
      <c r="F530" s="181"/>
      <c r="G530" s="181"/>
      <c r="H530" s="181"/>
      <c r="I530" s="181"/>
      <c r="J530" s="181"/>
    </row>
    <row r="531" spans="2:10">
      <c r="B531" s="181"/>
      <c r="C531" s="181"/>
      <c r="D531" s="181"/>
      <c r="E531" s="181"/>
      <c r="F531" s="181"/>
      <c r="G531" s="181"/>
      <c r="H531" s="181"/>
      <c r="I531" s="181"/>
      <c r="J531" s="181"/>
    </row>
    <row r="532" spans="2:10">
      <c r="B532" s="181"/>
      <c r="C532" s="181"/>
      <c r="D532" s="181"/>
      <c r="E532" s="181"/>
      <c r="F532" s="181"/>
      <c r="G532" s="181"/>
      <c r="H532" s="181"/>
      <c r="I532" s="181"/>
      <c r="J532" s="181"/>
    </row>
    <row r="533" spans="2:10">
      <c r="B533" s="181"/>
      <c r="C533" s="181"/>
      <c r="D533" s="181"/>
      <c r="E533" s="181"/>
      <c r="F533" s="181"/>
      <c r="G533" s="181"/>
      <c r="H533" s="181"/>
      <c r="I533" s="181"/>
      <c r="J533" s="181"/>
    </row>
    <row r="534" spans="2:10">
      <c r="B534" s="181"/>
      <c r="C534" s="181"/>
      <c r="D534" s="181"/>
      <c r="E534" s="181"/>
      <c r="F534" s="181"/>
      <c r="G534" s="181"/>
      <c r="H534" s="181"/>
      <c r="I534" s="181"/>
      <c r="J534" s="181"/>
    </row>
    <row r="535" spans="2:10">
      <c r="B535" s="181"/>
      <c r="C535" s="181"/>
      <c r="D535" s="181"/>
      <c r="E535" s="181"/>
      <c r="F535" s="181"/>
      <c r="G535" s="181"/>
      <c r="H535" s="181"/>
      <c r="I535" s="181"/>
      <c r="J535" s="181"/>
    </row>
    <row r="536" spans="2:10">
      <c r="B536" s="181"/>
      <c r="C536" s="181"/>
      <c r="D536" s="181"/>
      <c r="E536" s="181"/>
      <c r="F536" s="181"/>
      <c r="G536" s="181"/>
      <c r="H536" s="181"/>
      <c r="I536" s="181"/>
      <c r="J536" s="181"/>
    </row>
    <row r="537" spans="2:10">
      <c r="B537" s="181"/>
      <c r="C537" s="181"/>
      <c r="D537" s="181"/>
      <c r="E537" s="181"/>
      <c r="F537" s="181"/>
      <c r="G537" s="181"/>
      <c r="H537" s="181"/>
      <c r="I537" s="181"/>
      <c r="J537" s="181"/>
    </row>
    <row r="538" spans="2:10">
      <c r="B538" s="181"/>
      <c r="C538" s="181"/>
      <c r="D538" s="181"/>
      <c r="E538" s="181"/>
      <c r="F538" s="181"/>
      <c r="G538" s="181"/>
      <c r="H538" s="181"/>
      <c r="I538" s="181"/>
      <c r="J538" s="181"/>
    </row>
    <row r="539" spans="2:10">
      <c r="B539" s="181"/>
      <c r="C539" s="181"/>
      <c r="D539" s="181"/>
      <c r="E539" s="181"/>
      <c r="F539" s="181"/>
      <c r="G539" s="181"/>
      <c r="H539" s="181"/>
      <c r="I539" s="181"/>
      <c r="J539" s="181"/>
    </row>
    <row r="540" spans="2:10">
      <c r="B540" s="181"/>
      <c r="C540" s="181"/>
      <c r="D540" s="181"/>
      <c r="E540" s="181"/>
      <c r="F540" s="181"/>
      <c r="G540" s="181"/>
      <c r="H540" s="181"/>
      <c r="I540" s="181"/>
      <c r="J540" s="181"/>
    </row>
    <row r="541" spans="2:10">
      <c r="B541" s="181"/>
      <c r="C541" s="181"/>
      <c r="D541" s="181"/>
      <c r="E541" s="181"/>
      <c r="F541" s="181"/>
      <c r="G541" s="181"/>
      <c r="H541" s="181"/>
      <c r="I541" s="181"/>
      <c r="J541" s="181"/>
    </row>
    <row r="542" spans="2:10">
      <c r="B542" s="181"/>
      <c r="C542" s="181"/>
      <c r="D542" s="181"/>
      <c r="E542" s="181"/>
      <c r="F542" s="181"/>
      <c r="G542" s="181"/>
      <c r="H542" s="181"/>
      <c r="I542" s="181"/>
      <c r="J542" s="181"/>
    </row>
    <row r="543" spans="2:10">
      <c r="B543" s="181"/>
      <c r="C543" s="181"/>
      <c r="D543" s="181"/>
      <c r="E543" s="181"/>
      <c r="F543" s="181"/>
      <c r="G543" s="181"/>
      <c r="H543" s="181"/>
      <c r="I543" s="181"/>
      <c r="J543" s="181"/>
    </row>
    <row r="544" spans="2:10">
      <c r="B544" s="181"/>
      <c r="C544" s="181"/>
      <c r="D544" s="181"/>
      <c r="E544" s="181"/>
      <c r="F544" s="181"/>
      <c r="G544" s="181"/>
      <c r="H544" s="181"/>
      <c r="I544" s="181"/>
      <c r="J544" s="181"/>
    </row>
    <row r="545" spans="2:10">
      <c r="B545" s="181"/>
      <c r="C545" s="181"/>
      <c r="D545" s="181"/>
      <c r="E545" s="181"/>
      <c r="F545" s="181"/>
      <c r="G545" s="181"/>
      <c r="H545" s="181"/>
      <c r="I545" s="181"/>
      <c r="J545" s="181"/>
    </row>
    <row r="546" spans="2:10">
      <c r="B546" s="181"/>
      <c r="C546" s="181"/>
      <c r="D546" s="181"/>
      <c r="E546" s="181"/>
      <c r="F546" s="181"/>
      <c r="G546" s="181"/>
      <c r="H546" s="181"/>
      <c r="I546" s="181"/>
      <c r="J546" s="181"/>
    </row>
    <row r="547" spans="2:10">
      <c r="B547" s="181"/>
      <c r="C547" s="181"/>
      <c r="D547" s="181"/>
      <c r="E547" s="181"/>
      <c r="F547" s="181"/>
      <c r="G547" s="181"/>
      <c r="H547" s="181"/>
      <c r="I547" s="181"/>
      <c r="J547" s="181"/>
    </row>
    <row r="548" spans="2:10">
      <c r="B548" s="181"/>
      <c r="C548" s="181"/>
      <c r="D548" s="181"/>
      <c r="E548" s="181"/>
      <c r="F548" s="181"/>
      <c r="G548" s="181"/>
      <c r="H548" s="181"/>
      <c r="I548" s="181"/>
      <c r="J548" s="181"/>
    </row>
    <row r="549" spans="2:10">
      <c r="B549" s="181"/>
      <c r="C549" s="181"/>
      <c r="D549" s="181"/>
      <c r="E549" s="181"/>
      <c r="F549" s="181"/>
      <c r="G549" s="181"/>
      <c r="H549" s="181"/>
      <c r="I549" s="181"/>
      <c r="J549" s="181"/>
    </row>
    <row r="550" spans="2:10">
      <c r="B550" s="181"/>
      <c r="C550" s="181"/>
      <c r="D550" s="181"/>
      <c r="E550" s="181"/>
      <c r="F550" s="181"/>
      <c r="G550" s="181"/>
      <c r="H550" s="181"/>
      <c r="I550" s="181"/>
      <c r="J550" s="181"/>
    </row>
    <row r="551" spans="2:10">
      <c r="B551" s="181"/>
      <c r="C551" s="181"/>
      <c r="D551" s="181"/>
      <c r="E551" s="181"/>
      <c r="F551" s="181"/>
      <c r="G551" s="181"/>
      <c r="H551" s="181"/>
      <c r="I551" s="181"/>
      <c r="J551" s="181"/>
    </row>
    <row r="552" spans="2:10">
      <c r="B552" s="181"/>
      <c r="C552" s="181"/>
      <c r="D552" s="181"/>
      <c r="E552" s="181"/>
      <c r="F552" s="181"/>
      <c r="G552" s="181"/>
      <c r="H552" s="181"/>
      <c r="I552" s="181"/>
      <c r="J552" s="181"/>
    </row>
    <row r="553" spans="2:10">
      <c r="B553" s="181"/>
      <c r="C553" s="181"/>
      <c r="D553" s="181"/>
      <c r="E553" s="181"/>
      <c r="F553" s="181"/>
      <c r="G553" s="181"/>
      <c r="H553" s="181"/>
      <c r="I553" s="181"/>
      <c r="J553" s="181"/>
    </row>
    <row r="554" spans="2:10">
      <c r="B554" s="181"/>
      <c r="C554" s="181"/>
      <c r="D554" s="181"/>
      <c r="E554" s="181"/>
      <c r="F554" s="181"/>
      <c r="G554" s="181"/>
      <c r="H554" s="181"/>
      <c r="I554" s="181"/>
      <c r="J554" s="181"/>
    </row>
    <row r="555" spans="2:10">
      <c r="B555" s="181"/>
      <c r="C555" s="181"/>
      <c r="D555" s="181"/>
      <c r="E555" s="181"/>
      <c r="F555" s="181"/>
      <c r="G555" s="181"/>
      <c r="H555" s="181"/>
      <c r="I555" s="181"/>
      <c r="J555" s="181"/>
    </row>
    <row r="556" spans="2:10">
      <c r="B556" s="181"/>
      <c r="C556" s="181"/>
      <c r="D556" s="181"/>
      <c r="E556" s="181"/>
      <c r="F556" s="181"/>
      <c r="G556" s="181"/>
      <c r="H556" s="181"/>
      <c r="I556" s="181"/>
      <c r="J556" s="181"/>
    </row>
    <row r="557" spans="2:10">
      <c r="B557" s="181"/>
      <c r="C557" s="181"/>
      <c r="D557" s="181"/>
      <c r="E557" s="181"/>
      <c r="F557" s="181"/>
      <c r="G557" s="181"/>
      <c r="H557" s="181"/>
      <c r="I557" s="181"/>
      <c r="J557" s="181"/>
    </row>
    <row r="558" spans="2:10">
      <c r="B558" s="181"/>
      <c r="C558" s="181"/>
      <c r="D558" s="181"/>
      <c r="E558" s="181"/>
      <c r="F558" s="181"/>
      <c r="G558" s="181"/>
      <c r="H558" s="181"/>
      <c r="I558" s="181"/>
      <c r="J558" s="181"/>
    </row>
    <row r="559" spans="2:10">
      <c r="B559" s="181"/>
      <c r="C559" s="181"/>
      <c r="D559" s="181"/>
      <c r="E559" s="181"/>
      <c r="F559" s="181"/>
      <c r="G559" s="181"/>
      <c r="H559" s="181"/>
      <c r="I559" s="181"/>
      <c r="J559" s="181"/>
    </row>
    <row r="560" spans="2:10">
      <c r="B560" s="181"/>
      <c r="C560" s="181"/>
      <c r="D560" s="181"/>
      <c r="E560" s="181"/>
      <c r="F560" s="181"/>
      <c r="G560" s="181"/>
      <c r="H560" s="181"/>
      <c r="I560" s="181"/>
      <c r="J560" s="181"/>
    </row>
    <row r="561" spans="2:10">
      <c r="B561" s="181"/>
      <c r="C561" s="181"/>
      <c r="D561" s="181"/>
      <c r="E561" s="181"/>
      <c r="F561" s="181"/>
      <c r="G561" s="181"/>
      <c r="H561" s="181"/>
      <c r="I561" s="181"/>
      <c r="J561" s="181"/>
    </row>
    <row r="562" spans="2:10">
      <c r="B562" s="181"/>
      <c r="C562" s="181"/>
      <c r="D562" s="181"/>
      <c r="E562" s="181"/>
      <c r="F562" s="181"/>
      <c r="G562" s="181"/>
      <c r="H562" s="181"/>
      <c r="I562" s="181"/>
      <c r="J562" s="181"/>
    </row>
    <row r="563" spans="2:10">
      <c r="B563" s="181"/>
      <c r="C563" s="181"/>
      <c r="D563" s="181"/>
      <c r="E563" s="181"/>
      <c r="F563" s="181"/>
      <c r="G563" s="181"/>
      <c r="H563" s="181"/>
      <c r="I563" s="181"/>
      <c r="J563" s="181"/>
    </row>
    <row r="564" spans="2:10">
      <c r="B564" s="181"/>
      <c r="C564" s="181"/>
      <c r="D564" s="181"/>
      <c r="E564" s="181"/>
      <c r="F564" s="181"/>
      <c r="G564" s="181"/>
      <c r="H564" s="181"/>
      <c r="I564" s="181"/>
      <c r="J564" s="181"/>
    </row>
    <row r="565" spans="2:10">
      <c r="B565" s="181"/>
      <c r="C565" s="181"/>
      <c r="D565" s="181"/>
      <c r="E565" s="181"/>
      <c r="F565" s="181"/>
      <c r="G565" s="181"/>
      <c r="H565" s="181"/>
      <c r="I565" s="181"/>
      <c r="J565" s="181"/>
    </row>
    <row r="566" spans="2:10">
      <c r="B566" s="181"/>
      <c r="C566" s="181"/>
      <c r="D566" s="181"/>
      <c r="E566" s="181"/>
      <c r="F566" s="181"/>
      <c r="G566" s="181"/>
      <c r="H566" s="181"/>
      <c r="I566" s="181"/>
      <c r="J566" s="181"/>
    </row>
    <row r="567" spans="2:10">
      <c r="B567" s="181"/>
      <c r="C567" s="181"/>
      <c r="D567" s="181"/>
      <c r="E567" s="181"/>
      <c r="F567" s="181"/>
      <c r="G567" s="181"/>
      <c r="H567" s="181"/>
      <c r="I567" s="181"/>
      <c r="J567" s="181"/>
    </row>
    <row r="568" spans="2:10">
      <c r="B568" s="181"/>
      <c r="C568" s="181"/>
      <c r="D568" s="181"/>
      <c r="E568" s="181"/>
      <c r="F568" s="181"/>
      <c r="G568" s="181"/>
      <c r="H568" s="181"/>
      <c r="I568" s="181"/>
      <c r="J568" s="181"/>
    </row>
    <row r="569" spans="2:10">
      <c r="B569" s="181"/>
      <c r="C569" s="181"/>
      <c r="D569" s="181"/>
      <c r="E569" s="181"/>
      <c r="F569" s="181"/>
      <c r="G569" s="181"/>
      <c r="H569" s="181"/>
      <c r="I569" s="181"/>
      <c r="J569" s="181"/>
    </row>
    <row r="570" spans="2:10">
      <c r="B570" s="181"/>
      <c r="C570" s="181"/>
      <c r="D570" s="181"/>
      <c r="E570" s="181"/>
      <c r="F570" s="181"/>
      <c r="G570" s="181"/>
      <c r="H570" s="181"/>
      <c r="I570" s="181"/>
      <c r="J570" s="181"/>
    </row>
    <row r="571" spans="2:10">
      <c r="B571" s="181"/>
      <c r="C571" s="181"/>
      <c r="D571" s="181"/>
      <c r="E571" s="181"/>
      <c r="F571" s="181"/>
      <c r="G571" s="181"/>
      <c r="H571" s="181"/>
      <c r="I571" s="181"/>
      <c r="J571" s="181"/>
    </row>
    <row r="572" spans="2:10">
      <c r="B572" s="181"/>
      <c r="C572" s="181"/>
      <c r="D572" s="181"/>
      <c r="E572" s="181"/>
      <c r="F572" s="181"/>
      <c r="G572" s="181"/>
      <c r="H572" s="181"/>
      <c r="I572" s="181"/>
      <c r="J572" s="181"/>
    </row>
    <row r="573" spans="2:10">
      <c r="B573" s="181"/>
      <c r="C573" s="181"/>
      <c r="D573" s="181"/>
      <c r="E573" s="181"/>
      <c r="F573" s="181"/>
      <c r="G573" s="181"/>
      <c r="H573" s="181"/>
      <c r="I573" s="181"/>
      <c r="J573" s="181"/>
    </row>
    <row r="574" spans="2:10">
      <c r="B574" s="181"/>
      <c r="C574" s="181"/>
      <c r="D574" s="181"/>
      <c r="E574" s="181"/>
      <c r="F574" s="181"/>
      <c r="G574" s="181"/>
      <c r="H574" s="181"/>
      <c r="I574" s="181"/>
      <c r="J574" s="181"/>
    </row>
    <row r="575" spans="2:10">
      <c r="B575" s="181"/>
      <c r="C575" s="181"/>
      <c r="D575" s="181"/>
      <c r="E575" s="181"/>
      <c r="F575" s="181"/>
      <c r="G575" s="181"/>
      <c r="H575" s="181"/>
      <c r="I575" s="181"/>
      <c r="J575" s="181"/>
    </row>
    <row r="576" spans="2:10">
      <c r="B576" s="181"/>
      <c r="C576" s="181"/>
      <c r="D576" s="181"/>
      <c r="E576" s="181"/>
      <c r="F576" s="181"/>
      <c r="G576" s="181"/>
      <c r="H576" s="181"/>
      <c r="I576" s="181"/>
      <c r="J576" s="181"/>
    </row>
    <row r="577" spans="2:10">
      <c r="B577" s="181"/>
      <c r="C577" s="181"/>
      <c r="D577" s="181"/>
      <c r="E577" s="181"/>
      <c r="F577" s="181"/>
      <c r="G577" s="181"/>
      <c r="H577" s="181"/>
      <c r="I577" s="181"/>
      <c r="J577" s="181"/>
    </row>
    <row r="578" spans="2:10">
      <c r="B578" s="181"/>
      <c r="C578" s="181"/>
      <c r="D578" s="181"/>
      <c r="E578" s="181"/>
      <c r="F578" s="181"/>
      <c r="G578" s="181"/>
      <c r="H578" s="181"/>
      <c r="I578" s="181"/>
      <c r="J578" s="181"/>
    </row>
    <row r="579" spans="2:10">
      <c r="B579" s="181"/>
      <c r="C579" s="181"/>
      <c r="D579" s="181"/>
      <c r="E579" s="181"/>
      <c r="F579" s="181"/>
      <c r="G579" s="181"/>
      <c r="H579" s="181"/>
      <c r="I579" s="181"/>
      <c r="J579" s="181"/>
    </row>
    <row r="580" spans="2:10">
      <c r="B580" s="181"/>
      <c r="C580" s="181"/>
      <c r="D580" s="181"/>
      <c r="E580" s="181"/>
      <c r="F580" s="181"/>
      <c r="G580" s="181"/>
      <c r="H580" s="181"/>
      <c r="I580" s="181"/>
      <c r="J580" s="181"/>
    </row>
    <row r="581" spans="2:10">
      <c r="B581" s="181"/>
      <c r="C581" s="181"/>
      <c r="D581" s="181"/>
      <c r="E581" s="181"/>
      <c r="F581" s="181"/>
      <c r="G581" s="181"/>
      <c r="H581" s="181"/>
      <c r="I581" s="181"/>
      <c r="J581" s="181"/>
    </row>
    <row r="582" spans="2:10">
      <c r="B582" s="181"/>
      <c r="C582" s="181"/>
      <c r="D582" s="181"/>
      <c r="E582" s="181"/>
      <c r="F582" s="181"/>
      <c r="G582" s="181"/>
      <c r="H582" s="181"/>
      <c r="I582" s="181"/>
      <c r="J582" s="181"/>
    </row>
    <row r="583" spans="2:10">
      <c r="B583" s="181"/>
      <c r="C583" s="181"/>
      <c r="D583" s="181"/>
      <c r="E583" s="181"/>
      <c r="F583" s="181"/>
      <c r="G583" s="181"/>
      <c r="H583" s="181"/>
      <c r="I583" s="181"/>
      <c r="J583" s="181"/>
    </row>
    <row r="584" spans="2:10">
      <c r="B584" s="181"/>
      <c r="C584" s="181"/>
      <c r="D584" s="181"/>
      <c r="E584" s="181"/>
      <c r="F584" s="181"/>
      <c r="G584" s="181"/>
      <c r="H584" s="181"/>
      <c r="I584" s="181"/>
      <c r="J584" s="181"/>
    </row>
    <row r="585" spans="2:10">
      <c r="B585" s="181"/>
      <c r="C585" s="181"/>
      <c r="D585" s="181"/>
      <c r="E585" s="181"/>
      <c r="F585" s="181"/>
      <c r="G585" s="181"/>
      <c r="H585" s="181"/>
      <c r="I585" s="181"/>
      <c r="J585" s="181"/>
    </row>
    <row r="586" spans="2:10">
      <c r="B586" s="181"/>
      <c r="C586" s="181"/>
      <c r="D586" s="181"/>
      <c r="E586" s="181"/>
      <c r="F586" s="181"/>
      <c r="G586" s="181"/>
      <c r="H586" s="181"/>
      <c r="I586" s="181"/>
      <c r="J586" s="181"/>
    </row>
    <row r="587" spans="2:10">
      <c r="B587" s="181"/>
      <c r="C587" s="181"/>
      <c r="D587" s="181"/>
      <c r="E587" s="181"/>
      <c r="F587" s="181"/>
      <c r="G587" s="181"/>
      <c r="H587" s="181"/>
      <c r="I587" s="181"/>
      <c r="J587" s="181"/>
    </row>
    <row r="588" spans="2:10">
      <c r="B588" s="181"/>
      <c r="C588" s="181"/>
      <c r="D588" s="181"/>
      <c r="E588" s="181"/>
      <c r="F588" s="181"/>
      <c r="G588" s="181"/>
      <c r="H588" s="181"/>
      <c r="I588" s="181"/>
      <c r="J588" s="181"/>
    </row>
    <row r="589" spans="2:10">
      <c r="B589" s="181"/>
      <c r="C589" s="181"/>
      <c r="D589" s="181"/>
      <c r="E589" s="181"/>
      <c r="F589" s="181"/>
      <c r="G589" s="181"/>
      <c r="H589" s="181"/>
      <c r="I589" s="181"/>
      <c r="J589" s="181"/>
    </row>
    <row r="590" spans="2:10">
      <c r="B590" s="181"/>
      <c r="C590" s="181"/>
      <c r="D590" s="181"/>
      <c r="E590" s="181"/>
      <c r="F590" s="181"/>
      <c r="G590" s="181"/>
      <c r="H590" s="181"/>
      <c r="I590" s="181"/>
      <c r="J590" s="181"/>
    </row>
    <row r="591" spans="2:10">
      <c r="B591" s="181"/>
      <c r="C591" s="181"/>
      <c r="D591" s="181"/>
      <c r="E591" s="181"/>
      <c r="F591" s="181"/>
      <c r="G591" s="181"/>
      <c r="H591" s="181"/>
      <c r="I591" s="181"/>
      <c r="J591" s="181"/>
    </row>
    <row r="592" spans="2:10">
      <c r="B592" s="181"/>
      <c r="C592" s="181"/>
      <c r="D592" s="181"/>
      <c r="E592" s="181"/>
      <c r="F592" s="181"/>
      <c r="G592" s="181"/>
      <c r="H592" s="181"/>
      <c r="I592" s="181"/>
      <c r="J592" s="181"/>
    </row>
    <row r="593" spans="2:10">
      <c r="B593" s="181"/>
      <c r="C593" s="181"/>
      <c r="D593" s="181"/>
      <c r="E593" s="181"/>
      <c r="F593" s="181"/>
      <c r="G593" s="181"/>
      <c r="H593" s="181"/>
      <c r="I593" s="181"/>
      <c r="J593" s="181"/>
    </row>
    <row r="594" spans="2:10">
      <c r="B594" s="181"/>
      <c r="C594" s="181"/>
      <c r="D594" s="181"/>
      <c r="E594" s="181"/>
      <c r="F594" s="181"/>
      <c r="G594" s="181"/>
      <c r="H594" s="181"/>
      <c r="I594" s="181"/>
      <c r="J594" s="181"/>
    </row>
    <row r="595" spans="2:10">
      <c r="B595" s="181"/>
      <c r="C595" s="181"/>
      <c r="D595" s="181"/>
      <c r="E595" s="181"/>
      <c r="F595" s="181"/>
      <c r="G595" s="181"/>
      <c r="H595" s="181"/>
      <c r="I595" s="181"/>
      <c r="J595" s="181"/>
    </row>
    <row r="596" spans="2:10">
      <c r="B596" s="181"/>
      <c r="C596" s="181"/>
      <c r="D596" s="181"/>
      <c r="E596" s="181"/>
      <c r="F596" s="181"/>
      <c r="G596" s="181"/>
      <c r="H596" s="181"/>
      <c r="I596" s="181"/>
      <c r="J596" s="181"/>
    </row>
    <row r="597" spans="2:10">
      <c r="B597" s="181"/>
      <c r="C597" s="181"/>
      <c r="D597" s="181"/>
      <c r="E597" s="181"/>
      <c r="F597" s="181"/>
      <c r="G597" s="181"/>
      <c r="H597" s="181"/>
      <c r="I597" s="181"/>
      <c r="J597" s="181"/>
    </row>
    <row r="598" spans="2:10">
      <c r="B598" s="181"/>
      <c r="C598" s="181"/>
      <c r="D598" s="181"/>
      <c r="E598" s="181"/>
      <c r="F598" s="181"/>
      <c r="G598" s="181"/>
      <c r="H598" s="181"/>
      <c r="I598" s="181"/>
      <c r="J598" s="181"/>
    </row>
    <row r="599" spans="2:10">
      <c r="B599" s="181"/>
      <c r="C599" s="181"/>
      <c r="D599" s="181"/>
      <c r="E599" s="181"/>
      <c r="F599" s="181"/>
      <c r="G599" s="181"/>
      <c r="H599" s="181"/>
      <c r="I599" s="181"/>
      <c r="J599" s="181"/>
    </row>
    <row r="600" spans="2:10">
      <c r="B600" s="181"/>
      <c r="C600" s="181"/>
      <c r="D600" s="181"/>
      <c r="E600" s="181"/>
      <c r="F600" s="181"/>
      <c r="G600" s="181"/>
      <c r="H600" s="181"/>
      <c r="I600" s="181"/>
      <c r="J600" s="181"/>
    </row>
    <row r="601" spans="2:10">
      <c r="B601" s="181"/>
      <c r="C601" s="181"/>
      <c r="D601" s="181"/>
      <c r="E601" s="181"/>
      <c r="F601" s="181"/>
      <c r="G601" s="181"/>
      <c r="H601" s="181"/>
      <c r="I601" s="181"/>
      <c r="J601" s="181"/>
    </row>
    <row r="602" spans="2:10">
      <c r="B602" s="181"/>
      <c r="C602" s="181"/>
      <c r="D602" s="181"/>
      <c r="E602" s="181"/>
      <c r="F602" s="181"/>
      <c r="G602" s="181"/>
      <c r="H602" s="181"/>
      <c r="I602" s="181"/>
      <c r="J602" s="181"/>
    </row>
    <row r="603" spans="2:10">
      <c r="B603" s="181"/>
      <c r="C603" s="181"/>
      <c r="D603" s="181"/>
      <c r="E603" s="181"/>
      <c r="F603" s="181"/>
      <c r="G603" s="181"/>
      <c r="H603" s="181"/>
      <c r="I603" s="181"/>
      <c r="J603" s="181"/>
    </row>
    <row r="604" spans="2:10">
      <c r="B604" s="181"/>
      <c r="C604" s="181"/>
      <c r="D604" s="181"/>
      <c r="E604" s="181"/>
      <c r="F604" s="181"/>
      <c r="G604" s="181"/>
      <c r="H604" s="181"/>
      <c r="I604" s="181"/>
      <c r="J604" s="181"/>
    </row>
    <row r="605" spans="2:10">
      <c r="B605" s="181"/>
      <c r="C605" s="181"/>
      <c r="D605" s="181"/>
      <c r="E605" s="181"/>
      <c r="F605" s="181"/>
      <c r="G605" s="181"/>
      <c r="H605" s="181"/>
      <c r="I605" s="181"/>
      <c r="J605" s="181"/>
    </row>
    <row r="606" spans="2:10">
      <c r="B606" s="181"/>
      <c r="C606" s="181"/>
      <c r="D606" s="181"/>
      <c r="E606" s="181"/>
      <c r="F606" s="181"/>
      <c r="G606" s="181"/>
      <c r="H606" s="181"/>
      <c r="I606" s="181"/>
      <c r="J606" s="181"/>
    </row>
    <row r="607" spans="2:10">
      <c r="B607" s="181"/>
      <c r="C607" s="181"/>
      <c r="D607" s="181"/>
      <c r="E607" s="181"/>
      <c r="F607" s="181"/>
      <c r="G607" s="181"/>
      <c r="H607" s="181"/>
      <c r="I607" s="181"/>
      <c r="J607" s="181"/>
    </row>
    <row r="608" spans="2:10">
      <c r="B608" s="181"/>
      <c r="C608" s="181"/>
      <c r="D608" s="181"/>
      <c r="E608" s="181"/>
      <c r="F608" s="181"/>
      <c r="G608" s="181"/>
      <c r="H608" s="181"/>
      <c r="I608" s="181"/>
      <c r="J608" s="181"/>
    </row>
    <row r="609" spans="2:10">
      <c r="B609" s="181"/>
      <c r="C609" s="181"/>
      <c r="D609" s="181"/>
      <c r="E609" s="181"/>
      <c r="F609" s="181"/>
      <c r="G609" s="181"/>
      <c r="H609" s="181"/>
      <c r="I609" s="181"/>
      <c r="J609" s="181"/>
    </row>
    <row r="610" spans="2:10">
      <c r="B610" s="181"/>
      <c r="C610" s="181"/>
      <c r="D610" s="181"/>
      <c r="E610" s="181"/>
      <c r="F610" s="181"/>
      <c r="G610" s="181"/>
      <c r="H610" s="181"/>
      <c r="I610" s="181"/>
      <c r="J610" s="181"/>
    </row>
    <row r="611" spans="2:10">
      <c r="B611" s="181"/>
      <c r="C611" s="181"/>
      <c r="D611" s="181"/>
      <c r="E611" s="181"/>
      <c r="F611" s="181"/>
      <c r="G611" s="181"/>
      <c r="H611" s="181"/>
      <c r="I611" s="181"/>
      <c r="J611" s="181"/>
    </row>
    <row r="612" spans="2:10">
      <c r="B612" s="181"/>
      <c r="C612" s="181"/>
      <c r="D612" s="181"/>
      <c r="E612" s="181"/>
      <c r="F612" s="181"/>
      <c r="G612" s="181"/>
      <c r="H612" s="181"/>
      <c r="I612" s="181"/>
      <c r="J612" s="181"/>
    </row>
    <row r="613" spans="2:10">
      <c r="B613" s="181"/>
      <c r="C613" s="181"/>
      <c r="D613" s="181"/>
      <c r="E613" s="181"/>
      <c r="F613" s="181"/>
      <c r="G613" s="181"/>
      <c r="H613" s="181"/>
      <c r="I613" s="181"/>
      <c r="J613" s="181"/>
    </row>
  </sheetData>
  <mergeCells count="108">
    <mergeCell ref="G409:J409"/>
    <mergeCell ref="G411:J411"/>
    <mergeCell ref="G407:J407"/>
    <mergeCell ref="G410:J410"/>
    <mergeCell ref="G408:J408"/>
    <mergeCell ref="B408:F408"/>
    <mergeCell ref="B410:F410"/>
    <mergeCell ref="B411:F411"/>
    <mergeCell ref="B409:F409"/>
    <mergeCell ref="B407:F407"/>
    <mergeCell ref="C154:E154"/>
    <mergeCell ref="C155:E155"/>
    <mergeCell ref="C156:E156"/>
    <mergeCell ref="C157:E157"/>
    <mergeCell ref="B168:J168"/>
    <mergeCell ref="D142:E142"/>
    <mergeCell ref="D143:E143"/>
    <mergeCell ref="D144:E144"/>
    <mergeCell ref="C163:E163"/>
    <mergeCell ref="C164:E164"/>
    <mergeCell ref="C165:E165"/>
    <mergeCell ref="C166:E166"/>
    <mergeCell ref="B142:C142"/>
    <mergeCell ref="C162:E162"/>
    <mergeCell ref="C158:E158"/>
    <mergeCell ref="C159:E159"/>
    <mergeCell ref="C160:E160"/>
    <mergeCell ref="C161:E161"/>
    <mergeCell ref="B150:E150"/>
    <mergeCell ref="B148:C148"/>
    <mergeCell ref="B149:C149"/>
    <mergeCell ref="D149:E149"/>
    <mergeCell ref="B143:C143"/>
    <mergeCell ref="D147:E147"/>
    <mergeCell ref="B78:J78"/>
    <mergeCell ref="B79:E79"/>
    <mergeCell ref="F79:H79"/>
    <mergeCell ref="I79:J79"/>
    <mergeCell ref="B133:C133"/>
    <mergeCell ref="B140:C140"/>
    <mergeCell ref="B141:C141"/>
    <mergeCell ref="D133:E133"/>
    <mergeCell ref="D134:E134"/>
    <mergeCell ref="B134:C134"/>
    <mergeCell ref="B135:C135"/>
    <mergeCell ref="B136:C136"/>
    <mergeCell ref="B137:C137"/>
    <mergeCell ref="B138:C138"/>
    <mergeCell ref="B139:C139"/>
    <mergeCell ref="B99:J99"/>
    <mergeCell ref="A3:J3"/>
    <mergeCell ref="B5:J5"/>
    <mergeCell ref="E12:J13"/>
    <mergeCell ref="B64:J64"/>
    <mergeCell ref="B65:J65"/>
    <mergeCell ref="E16:F16"/>
    <mergeCell ref="B61:H61"/>
    <mergeCell ref="B183:D183"/>
    <mergeCell ref="B184:D184"/>
    <mergeCell ref="C112:D112"/>
    <mergeCell ref="E112:F112"/>
    <mergeCell ref="G112:H112"/>
    <mergeCell ref="D132:E132"/>
    <mergeCell ref="B102:J102"/>
    <mergeCell ref="B98:J98"/>
    <mergeCell ref="B108:J108"/>
    <mergeCell ref="B104:J104"/>
    <mergeCell ref="B106:J106"/>
    <mergeCell ref="B100:J100"/>
    <mergeCell ref="B129:J129"/>
    <mergeCell ref="B110:J110"/>
    <mergeCell ref="B132:C132"/>
    <mergeCell ref="C153:E153"/>
    <mergeCell ref="D146:E146"/>
    <mergeCell ref="G203:H203"/>
    <mergeCell ref="I203:J203"/>
    <mergeCell ref="C203:D203"/>
    <mergeCell ref="E203:F203"/>
    <mergeCell ref="B170:J170"/>
    <mergeCell ref="B196:J196"/>
    <mergeCell ref="B199:J199"/>
    <mergeCell ref="B173:D173"/>
    <mergeCell ref="B174:D174"/>
    <mergeCell ref="B175:D175"/>
    <mergeCell ref="B176:D176"/>
    <mergeCell ref="B177:J177"/>
    <mergeCell ref="B181:D181"/>
    <mergeCell ref="B182:D182"/>
    <mergeCell ref="B191:D191"/>
    <mergeCell ref="B185:D185"/>
    <mergeCell ref="B186:D186"/>
    <mergeCell ref="B187:D187"/>
    <mergeCell ref="B188:D188"/>
    <mergeCell ref="B189:D189"/>
    <mergeCell ref="B190:D190"/>
    <mergeCell ref="D148:E148"/>
    <mergeCell ref="B145:C145"/>
    <mergeCell ref="B146:C146"/>
    <mergeCell ref="B147:C147"/>
    <mergeCell ref="B144:C144"/>
    <mergeCell ref="D135:E135"/>
    <mergeCell ref="D136:E136"/>
    <mergeCell ref="D137:E137"/>
    <mergeCell ref="D138:E138"/>
    <mergeCell ref="D139:E139"/>
    <mergeCell ref="D140:E140"/>
    <mergeCell ref="D141:E141"/>
    <mergeCell ref="D145:E145"/>
  </mergeCells>
  <conditionalFormatting sqref="M79 F263:I274 B262:B263 E262:E275 B285:J285 F262:J262 E287:F287 J264:J275 E276:J284 E289:F303 E304:J308 B303:B305 H348:J349 E379:J380 H343:J346 E374:J377 H368:J368 E399:J399 H370:J372 E401:J403 H351:J351 E382:J388 H359:J360 E390:J391 H362:J364 E393:J395 H366:J366 E397:J397 H353:J357 K287:N308">
    <cfRule type="cellIs" dxfId="177" priority="239" operator="equal">
      <formula>0</formula>
    </cfRule>
  </conditionalFormatting>
  <conditionalFormatting sqref="C232:H233">
    <cfRule type="cellIs" dxfId="176" priority="238" operator="equal">
      <formula>"ERROR"</formula>
    </cfRule>
  </conditionalFormatting>
  <conditionalFormatting sqref="B262:B263">
    <cfRule type="cellIs" dxfId="175" priority="237" operator="equal">
      <formula>0</formula>
    </cfRule>
  </conditionalFormatting>
  <conditionalFormatting sqref="E263:I274 E275 C285:J285 E262:J262 E287:F287 J264:J275 E276:J284 E289:F303 E304:J308 K287:N308 H348:J349 E379:J380 H343:J346 E374:J377 H368:J368 E399:J399 H370:J372 E401:J403 H351:J351 E382:J388 H359:J360 E390:J391 H362:J364 E393:J395 H366:J366 E397:J397 H353:J357">
    <cfRule type="cellIs" dxfId="174" priority="235" operator="equal">
      <formula>0</formula>
    </cfRule>
  </conditionalFormatting>
  <conditionalFormatting sqref="F275:I275">
    <cfRule type="cellIs" dxfId="173" priority="232" operator="equal">
      <formula>0</formula>
    </cfRule>
  </conditionalFormatting>
  <conditionalFormatting sqref="F275:I275">
    <cfRule type="cellIs" dxfId="172" priority="231" operator="equal">
      <formula>0</formula>
    </cfRule>
  </conditionalFormatting>
  <conditionalFormatting sqref="G289:J299">
    <cfRule type="cellIs" dxfId="171" priority="196" operator="equal">
      <formula>0</formula>
    </cfRule>
  </conditionalFormatting>
  <conditionalFormatting sqref="G303:J303">
    <cfRule type="cellIs" dxfId="170" priority="186" operator="equal">
      <formula>0</formula>
    </cfRule>
  </conditionalFormatting>
  <conditionalFormatting sqref="H286:N286 H309:N313 H338:N340 I314:N337">
    <cfRule type="cellIs" dxfId="169" priority="204" operator="equal">
      <formula>0</formula>
    </cfRule>
  </conditionalFormatting>
  <conditionalFormatting sqref="G302:J302">
    <cfRule type="cellIs" dxfId="168" priority="189" operator="equal">
      <formula>0</formula>
    </cfRule>
  </conditionalFormatting>
  <conditionalFormatting sqref="G346">
    <cfRule type="cellIs" dxfId="167" priority="91" operator="equal">
      <formula>0</formula>
    </cfRule>
  </conditionalFormatting>
  <conditionalFormatting sqref="G287:J287">
    <cfRule type="cellIs" dxfId="166" priority="198" operator="equal">
      <formula>0</formula>
    </cfRule>
  </conditionalFormatting>
  <conditionalFormatting sqref="B285">
    <cfRule type="cellIs" dxfId="165" priority="209" operator="equal">
      <formula>0</formula>
    </cfRule>
  </conditionalFormatting>
  <conditionalFormatting sqref="H286:N286 H309:N313 H338:N340 I314:N337">
    <cfRule type="cellIs" dxfId="164" priority="203" operator="equal">
      <formula>0</formula>
    </cfRule>
  </conditionalFormatting>
  <conditionalFormatting sqref="G303:J303">
    <cfRule type="cellIs" dxfId="163" priority="185" operator="equal">
      <formula>0</formula>
    </cfRule>
  </conditionalFormatting>
  <conditionalFormatting sqref="G287:J287">
    <cfRule type="cellIs" dxfId="162" priority="197" operator="equal">
      <formula>0</formula>
    </cfRule>
  </conditionalFormatting>
  <conditionalFormatting sqref="G289:J299">
    <cfRule type="cellIs" dxfId="161" priority="195" operator="equal">
      <formula>0</formula>
    </cfRule>
  </conditionalFormatting>
  <conditionalFormatting sqref="G300:J300">
    <cfRule type="cellIs" dxfId="160" priority="194" operator="equal">
      <formula>0</formula>
    </cfRule>
  </conditionalFormatting>
  <conditionalFormatting sqref="G300:J300">
    <cfRule type="cellIs" dxfId="159" priority="193" operator="equal">
      <formula>0</formula>
    </cfRule>
  </conditionalFormatting>
  <conditionalFormatting sqref="G302:J302">
    <cfRule type="cellIs" dxfId="158" priority="190" operator="equal">
      <formula>0</formula>
    </cfRule>
  </conditionalFormatting>
  <conditionalFormatting sqref="G301:J301">
    <cfRule type="cellIs" dxfId="157" priority="192" operator="equal">
      <formula>0</formula>
    </cfRule>
  </conditionalFormatting>
  <conditionalFormatting sqref="G301:J301">
    <cfRule type="cellIs" dxfId="156" priority="191" operator="equal">
      <formula>0</formula>
    </cfRule>
  </conditionalFormatting>
  <conditionalFormatting sqref="B307">
    <cfRule type="cellIs" dxfId="155" priority="174" operator="equal">
      <formula>0</formula>
    </cfRule>
  </conditionalFormatting>
  <conditionalFormatting sqref="B303">
    <cfRule type="cellIs" dxfId="154" priority="173" operator="equal">
      <formula>0</formula>
    </cfRule>
  </conditionalFormatting>
  <conditionalFormatting sqref="B306">
    <cfRule type="cellIs" dxfId="153" priority="167" operator="equal">
      <formula>0</formula>
    </cfRule>
  </conditionalFormatting>
  <conditionalFormatting sqref="B306">
    <cfRule type="cellIs" dxfId="152" priority="168" operator="equal">
      <formula>0</formula>
    </cfRule>
  </conditionalFormatting>
  <conditionalFormatting sqref="B289:B300 B307">
    <cfRule type="cellIs" dxfId="151" priority="176" operator="equal">
      <formula>0</formula>
    </cfRule>
  </conditionalFormatting>
  <conditionalFormatting sqref="B289:B300">
    <cfRule type="cellIs" dxfId="150" priority="175" operator="equal">
      <formula>0</formula>
    </cfRule>
  </conditionalFormatting>
  <conditionalFormatting sqref="B301:B302">
    <cfRule type="cellIs" dxfId="149" priority="169" operator="equal">
      <formula>0</formula>
    </cfRule>
  </conditionalFormatting>
  <conditionalFormatting sqref="B301:B302">
    <cfRule type="cellIs" dxfId="148" priority="170" operator="equal">
      <formula>0</formula>
    </cfRule>
  </conditionalFormatting>
  <conditionalFormatting sqref="B308">
    <cfRule type="cellIs" dxfId="147" priority="166" operator="equal">
      <formula>0</formula>
    </cfRule>
  </conditionalFormatting>
  <conditionalFormatting sqref="B278:B280">
    <cfRule type="cellIs" dxfId="146" priority="165" operator="equal">
      <formula>0</formula>
    </cfRule>
  </conditionalFormatting>
  <conditionalFormatting sqref="B282">
    <cfRule type="cellIs" dxfId="145" priority="162" operator="equal">
      <formula>0</formula>
    </cfRule>
  </conditionalFormatting>
  <conditionalFormatting sqref="B278">
    <cfRule type="cellIs" dxfId="144" priority="161" operator="equal">
      <formula>0</formula>
    </cfRule>
  </conditionalFormatting>
  <conditionalFormatting sqref="B281">
    <cfRule type="cellIs" dxfId="143" priority="157" operator="equal">
      <formula>0</formula>
    </cfRule>
  </conditionalFormatting>
  <conditionalFormatting sqref="B281">
    <cfRule type="cellIs" dxfId="142" priority="158" operator="equal">
      <formula>0</formula>
    </cfRule>
  </conditionalFormatting>
  <conditionalFormatting sqref="B264:B275 B282">
    <cfRule type="cellIs" dxfId="141" priority="164" operator="equal">
      <formula>0</formula>
    </cfRule>
  </conditionalFormatting>
  <conditionalFormatting sqref="B264:B275">
    <cfRule type="cellIs" dxfId="140" priority="163" operator="equal">
      <formula>0</formula>
    </cfRule>
  </conditionalFormatting>
  <conditionalFormatting sqref="B276:B277">
    <cfRule type="cellIs" dxfId="139" priority="159" operator="equal">
      <formula>0</formula>
    </cfRule>
  </conditionalFormatting>
  <conditionalFormatting sqref="B276:B277">
    <cfRule type="cellIs" dxfId="138" priority="160" operator="equal">
      <formula>0</formula>
    </cfRule>
  </conditionalFormatting>
  <conditionalFormatting sqref="B283">
    <cfRule type="cellIs" dxfId="137" priority="156" operator="equal">
      <formula>0</formula>
    </cfRule>
  </conditionalFormatting>
  <conditionalFormatting sqref="B284">
    <cfRule type="cellIs" dxfId="136" priority="155" operator="equal">
      <formula>0</formula>
    </cfRule>
  </conditionalFormatting>
  <conditionalFormatting sqref="B280">
    <cfRule type="cellIs" dxfId="135" priority="154" operator="equal">
      <formula>0</formula>
    </cfRule>
  </conditionalFormatting>
  <conditionalFormatting sqref="E343:G343">
    <cfRule type="cellIs" dxfId="134" priority="153" operator="equal">
      <formula>0</formula>
    </cfRule>
  </conditionalFormatting>
  <conditionalFormatting sqref="E343:G343">
    <cfRule type="cellIs" dxfId="133" priority="152" operator="equal">
      <formula>0</formula>
    </cfRule>
  </conditionalFormatting>
  <conditionalFormatting sqref="E344:E345">
    <cfRule type="cellIs" dxfId="132" priority="139" operator="equal">
      <formula>0</formula>
    </cfRule>
  </conditionalFormatting>
  <conditionalFormatting sqref="E348:E349">
    <cfRule type="cellIs" dxfId="131" priority="137" operator="equal">
      <formula>0</formula>
    </cfRule>
  </conditionalFormatting>
  <conditionalFormatting sqref="E351:E357">
    <cfRule type="cellIs" dxfId="130" priority="135" operator="equal">
      <formula>0</formula>
    </cfRule>
  </conditionalFormatting>
  <conditionalFormatting sqref="F368">
    <cfRule type="cellIs" dxfId="129" priority="103" operator="equal">
      <formula>0</formula>
    </cfRule>
  </conditionalFormatting>
  <conditionalFormatting sqref="F372">
    <cfRule type="cellIs" dxfId="128" priority="101" operator="equal">
      <formula>0</formula>
    </cfRule>
  </conditionalFormatting>
  <conditionalFormatting sqref="E346">
    <cfRule type="cellIs" dxfId="127" priority="141" operator="equal">
      <formula>0</formula>
    </cfRule>
  </conditionalFormatting>
  <conditionalFormatting sqref="E346">
    <cfRule type="cellIs" dxfId="126" priority="140" operator="equal">
      <formula>0</formula>
    </cfRule>
  </conditionalFormatting>
  <conditionalFormatting sqref="F353:F356">
    <cfRule type="cellIs" dxfId="125" priority="109" operator="equal">
      <formula>0</formula>
    </cfRule>
  </conditionalFormatting>
  <conditionalFormatting sqref="E344:E345">
    <cfRule type="cellIs" dxfId="124" priority="138" operator="equal">
      <formula>0</formula>
    </cfRule>
  </conditionalFormatting>
  <conditionalFormatting sqref="E348:E349">
    <cfRule type="cellIs" dxfId="123" priority="136" operator="equal">
      <formula>0</formula>
    </cfRule>
  </conditionalFormatting>
  <conditionalFormatting sqref="E351:E357">
    <cfRule type="cellIs" dxfId="122" priority="134" operator="equal">
      <formula>0</formula>
    </cfRule>
  </conditionalFormatting>
  <conditionalFormatting sqref="E368">
    <cfRule type="cellIs" dxfId="121" priority="127" operator="equal">
      <formula>0</formula>
    </cfRule>
  </conditionalFormatting>
  <conditionalFormatting sqref="E368">
    <cfRule type="cellIs" dxfId="120" priority="126" operator="equal">
      <formula>0</formula>
    </cfRule>
  </conditionalFormatting>
  <conditionalFormatting sqref="F371:G371">
    <cfRule type="cellIs" dxfId="119" priority="70" operator="equal">
      <formula>0</formula>
    </cfRule>
  </conditionalFormatting>
  <conditionalFormatting sqref="E370:E372">
    <cfRule type="cellIs" dxfId="118" priority="125" operator="equal">
      <formula>0</formula>
    </cfRule>
  </conditionalFormatting>
  <conditionalFormatting sqref="E370:E372">
    <cfRule type="cellIs" dxfId="117" priority="124" operator="equal">
      <formula>0</formula>
    </cfRule>
  </conditionalFormatting>
  <conditionalFormatting sqref="G344:G345">
    <cfRule type="cellIs" dxfId="116" priority="89" operator="equal">
      <formula>0</formula>
    </cfRule>
  </conditionalFormatting>
  <conditionalFormatting sqref="G344:G345">
    <cfRule type="cellIs" dxfId="115" priority="88" operator="equal">
      <formula>0</formula>
    </cfRule>
  </conditionalFormatting>
  <conditionalFormatting sqref="F371:G371">
    <cfRule type="cellIs" dxfId="114" priority="71" operator="equal">
      <formula>0</formula>
    </cfRule>
  </conditionalFormatting>
  <conditionalFormatting sqref="F348:F349">
    <cfRule type="cellIs" dxfId="113" priority="113" operator="equal">
      <formula>0</formula>
    </cfRule>
  </conditionalFormatting>
  <conditionalFormatting sqref="F348:F349">
    <cfRule type="cellIs" dxfId="112" priority="112" operator="equal">
      <formula>0</formula>
    </cfRule>
  </conditionalFormatting>
  <conditionalFormatting sqref="F346">
    <cfRule type="cellIs" dxfId="111" priority="117" operator="equal">
      <formula>0</formula>
    </cfRule>
  </conditionalFormatting>
  <conditionalFormatting sqref="F346">
    <cfRule type="cellIs" dxfId="110" priority="116" operator="equal">
      <formula>0</formula>
    </cfRule>
  </conditionalFormatting>
  <conditionalFormatting sqref="F344:F345">
    <cfRule type="cellIs" dxfId="109" priority="115" operator="equal">
      <formula>0</formula>
    </cfRule>
  </conditionalFormatting>
  <conditionalFormatting sqref="F344:F345">
    <cfRule type="cellIs" dxfId="108" priority="114" operator="equal">
      <formula>0</formula>
    </cfRule>
  </conditionalFormatting>
  <conditionalFormatting sqref="G353:G356">
    <cfRule type="cellIs" dxfId="107" priority="83" operator="equal">
      <formula>0</formula>
    </cfRule>
  </conditionalFormatting>
  <conditionalFormatting sqref="G353:G356">
    <cfRule type="cellIs" dxfId="106" priority="82" operator="equal">
      <formula>0</formula>
    </cfRule>
  </conditionalFormatting>
  <conditionalFormatting sqref="F351">
    <cfRule type="cellIs" dxfId="105" priority="111" operator="equal">
      <formula>0</formula>
    </cfRule>
  </conditionalFormatting>
  <conditionalFormatting sqref="F351">
    <cfRule type="cellIs" dxfId="104" priority="110" operator="equal">
      <formula>0</formula>
    </cfRule>
  </conditionalFormatting>
  <conditionalFormatting sqref="F353:F356">
    <cfRule type="cellIs" dxfId="103" priority="108" operator="equal">
      <formula>0</formula>
    </cfRule>
  </conditionalFormatting>
  <conditionalFormatting sqref="F368">
    <cfRule type="cellIs" dxfId="102" priority="102" operator="equal">
      <formula>0</formula>
    </cfRule>
  </conditionalFormatting>
  <conditionalFormatting sqref="G370">
    <cfRule type="cellIs" dxfId="101" priority="73" operator="equal">
      <formula>0</formula>
    </cfRule>
  </conditionalFormatting>
  <conditionalFormatting sqref="G370">
    <cfRule type="cellIs" dxfId="100" priority="72" operator="equal">
      <formula>0</formula>
    </cfRule>
  </conditionalFormatting>
  <conditionalFormatting sqref="F372">
    <cfRule type="cellIs" dxfId="99" priority="100" operator="equal">
      <formula>0</formula>
    </cfRule>
  </conditionalFormatting>
  <conditionalFormatting sqref="F370">
    <cfRule type="cellIs" dxfId="98" priority="99" operator="equal">
      <formula>0</formula>
    </cfRule>
  </conditionalFormatting>
  <conditionalFormatting sqref="F370">
    <cfRule type="cellIs" dxfId="97" priority="98" operator="equal">
      <formula>0</formula>
    </cfRule>
  </conditionalFormatting>
  <conditionalFormatting sqref="E359:G360">
    <cfRule type="cellIs" dxfId="96" priority="63" operator="equal">
      <formula>0</formula>
    </cfRule>
  </conditionalFormatting>
  <conditionalFormatting sqref="E359:G360">
    <cfRule type="cellIs" dxfId="95" priority="62" operator="equal">
      <formula>0</formula>
    </cfRule>
  </conditionalFormatting>
  <conditionalFormatting sqref="G348:G349">
    <cfRule type="cellIs" dxfId="94" priority="87" operator="equal">
      <formula>0</formula>
    </cfRule>
  </conditionalFormatting>
  <conditionalFormatting sqref="G348:G349">
    <cfRule type="cellIs" dxfId="93" priority="86" operator="equal">
      <formula>0</formula>
    </cfRule>
  </conditionalFormatting>
  <conditionalFormatting sqref="E362:G364">
    <cfRule type="cellIs" dxfId="92" priority="61" operator="equal">
      <formula>0</formula>
    </cfRule>
  </conditionalFormatting>
  <conditionalFormatting sqref="G346">
    <cfRule type="cellIs" dxfId="91" priority="90" operator="equal">
      <formula>0</formula>
    </cfRule>
  </conditionalFormatting>
  <conditionalFormatting sqref="G351">
    <cfRule type="cellIs" dxfId="90" priority="85" operator="equal">
      <formula>0</formula>
    </cfRule>
  </conditionalFormatting>
  <conditionalFormatting sqref="G351">
    <cfRule type="cellIs" dxfId="89" priority="84" operator="equal">
      <formula>0</formula>
    </cfRule>
  </conditionalFormatting>
  <conditionalFormatting sqref="G368">
    <cfRule type="cellIs" dxfId="88" priority="77" operator="equal">
      <formula>0</formula>
    </cfRule>
  </conditionalFormatting>
  <conditionalFormatting sqref="G368">
    <cfRule type="cellIs" dxfId="87" priority="76" operator="equal">
      <formula>0</formula>
    </cfRule>
  </conditionalFormatting>
  <conditionalFormatting sqref="G372">
    <cfRule type="cellIs" dxfId="86" priority="75" operator="equal">
      <formula>0</formula>
    </cfRule>
  </conditionalFormatting>
  <conditionalFormatting sqref="G372">
    <cfRule type="cellIs" dxfId="85" priority="74" operator="equal">
      <formula>0</formula>
    </cfRule>
  </conditionalFormatting>
  <conditionalFormatting sqref="F357">
    <cfRule type="cellIs" dxfId="84" priority="67" operator="equal">
      <formula>0</formula>
    </cfRule>
  </conditionalFormatting>
  <conditionalFormatting sqref="F357">
    <cfRule type="cellIs" dxfId="83" priority="66" operator="equal">
      <formula>0</formula>
    </cfRule>
  </conditionalFormatting>
  <conditionalFormatting sqref="G357">
    <cfRule type="cellIs" dxfId="82" priority="65" operator="equal">
      <formula>0</formula>
    </cfRule>
  </conditionalFormatting>
  <conditionalFormatting sqref="G357">
    <cfRule type="cellIs" dxfId="81" priority="64" operator="equal">
      <formula>0</formula>
    </cfRule>
  </conditionalFormatting>
  <conditionalFormatting sqref="E362:G364">
    <cfRule type="cellIs" dxfId="80" priority="60" operator="equal">
      <formula>0</formula>
    </cfRule>
  </conditionalFormatting>
  <conditionalFormatting sqref="E366:G366">
    <cfRule type="cellIs" dxfId="79" priority="59" operator="equal">
      <formula>0</formula>
    </cfRule>
  </conditionalFormatting>
  <conditionalFormatting sqref="E366:G366">
    <cfRule type="cellIs" dxfId="78" priority="58" operator="equal">
      <formula>0</formula>
    </cfRule>
  </conditionalFormatting>
  <conditionalFormatting sqref="B70:J73">
    <cfRule type="cellIs" dxfId="77" priority="25" operator="equal">
      <formula>0</formula>
    </cfRule>
    <cfRule type="cellIs" dxfId="76" priority="26" operator="equal">
      <formula>0</formula>
    </cfRule>
    <cfRule type="cellIs" dxfId="75" priority="27" operator="equal">
      <formula>0</formula>
    </cfRule>
  </conditionalFormatting>
  <conditionalFormatting sqref="B81:J95">
    <cfRule type="cellIs" dxfId="74" priority="21" operator="equal">
      <formula>0</formula>
    </cfRule>
    <cfRule type="cellIs" dxfId="73" priority="22" operator="equal">
      <formula>0</formula>
    </cfRule>
    <cfRule type="cellIs" dxfId="72" priority="23" operator="equal">
      <formula>250</formula>
    </cfRule>
    <cfRule type="cellIs" dxfId="71" priority="24" operator="equal">
      <formula>0</formula>
    </cfRule>
  </conditionalFormatting>
  <conditionalFormatting sqref="B133:B147 F133:H138 D133:D147">
    <cfRule type="cellIs" dxfId="70" priority="18" operator="equal">
      <formula>0</formula>
    </cfRule>
    <cfRule type="cellIs" dxfId="69" priority="19" operator="equal">
      <formula>0</formula>
    </cfRule>
    <cfRule type="cellIs" dxfId="68" priority="20" operator="equal">
      <formula>0</formula>
    </cfRule>
  </conditionalFormatting>
  <conditionalFormatting sqref="E174:G176">
    <cfRule type="cellIs" dxfId="67" priority="15" operator="equal">
      <formula>0</formula>
    </cfRule>
    <cfRule type="cellIs" dxfId="66" priority="16" operator="equal">
      <formula>0</formula>
    </cfRule>
    <cfRule type="cellIs" dxfId="65" priority="17" operator="equal">
      <formula>0</formula>
    </cfRule>
  </conditionalFormatting>
  <conditionalFormatting sqref="F352:J352">
    <cfRule type="cellIs" dxfId="64" priority="14" operator="equal">
      <formula>0</formula>
    </cfRule>
  </conditionalFormatting>
  <conditionalFormatting sqref="F352:J352">
    <cfRule type="cellIs" dxfId="63" priority="13" operator="equal">
      <formula>0</formula>
    </cfRule>
  </conditionalFormatting>
  <conditionalFormatting sqref="F139:H147">
    <cfRule type="cellIs" dxfId="62" priority="10" operator="equal">
      <formula>0</formula>
    </cfRule>
    <cfRule type="cellIs" dxfId="61" priority="11" operator="equal">
      <formula>0</formula>
    </cfRule>
    <cfRule type="cellIs" dxfId="60" priority="12" operator="equal">
      <formula>0</formula>
    </cfRule>
  </conditionalFormatting>
  <conditionalFormatting sqref="B148 D148">
    <cfRule type="cellIs" dxfId="59" priority="7" operator="equal">
      <formula>0</formula>
    </cfRule>
    <cfRule type="cellIs" dxfId="58" priority="8" operator="equal">
      <formula>0</formula>
    </cfRule>
    <cfRule type="cellIs" dxfId="57" priority="9" operator="equal">
      <formula>0</formula>
    </cfRule>
  </conditionalFormatting>
  <conditionalFormatting sqref="F148:H148">
    <cfRule type="cellIs" dxfId="56" priority="4" operator="equal">
      <formula>0</formula>
    </cfRule>
    <cfRule type="cellIs" dxfId="55" priority="5" operator="equal">
      <formula>0</formula>
    </cfRule>
    <cfRule type="cellIs" dxfId="54" priority="6" operator="equal">
      <formula>0</formula>
    </cfRule>
  </conditionalFormatting>
  <conditionalFormatting sqref="H174:H175">
    <cfRule type="cellIs" dxfId="53" priority="1" operator="equal">
      <formula>0</formula>
    </cfRule>
    <cfRule type="cellIs" dxfId="52" priority="2" operator="equal">
      <formula>0</formula>
    </cfRule>
    <cfRule type="cellIs" dxfId="51" priority="3" operator="equal">
      <formula>0</formula>
    </cfRule>
  </conditionalFormatting>
  <dataValidations count="1">
    <dataValidation type="decimal" operator="notEqual" allowBlank="1" showInputMessage="1" showErrorMessage="1" sqref="H154:H166" xr:uid="{00000000-0002-0000-1400-000000000000}">
      <formula1>0.001</formula1>
    </dataValidation>
  </dataValidations>
  <pageMargins left="0.70866141732283472" right="0.70866141732283472" top="0.74803149606299213" bottom="0.74803149606299213" header="0.31496062992125984" footer="0.31496062992125984"/>
  <pageSetup paperSize="9" scale="86" orientation="portrait" r:id="rId1"/>
  <headerFooter scaleWithDoc="0">
    <oddHeader xml:space="preserve">&amp;L&amp;D&amp;R&amp;8Herramienta desarrollada por
  &amp;G PROCORNELLÀ </oddHeader>
    <oddFooter>&amp;L&amp;"-,Negrita"&amp;14&amp;F]&amp;R&amp;14&amp;P/&amp;N</oddFooter>
  </headerFooter>
  <rowBreaks count="7" manualBreakCount="7">
    <brk id="29" max="9" man="1"/>
    <brk id="61" max="9" man="1"/>
    <brk id="197" max="9" man="1"/>
    <brk id="230" max="9" man="1"/>
    <brk id="258" max="9" man="1"/>
    <brk id="309" max="9" man="1"/>
    <brk id="340" max="9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400-000001000000}">
          <x14:formula1>
            <xm:f>DATOS!$L$2:$L$6</xm:f>
          </x14:formula1>
          <xm:sqref>G81:G95</xm:sqref>
        </x14:dataValidation>
        <x14:dataValidation type="list" allowBlank="1" showInputMessage="1" showErrorMessage="1" xr:uid="{00000000-0002-0000-1400-000002000000}">
          <x14:formula1>
            <xm:f>DATOS!$I$2:$I$8</xm:f>
          </x14:formula1>
          <xm:sqref>C154:E166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3"/>
  <dimension ref="B1:M19"/>
  <sheetViews>
    <sheetView zoomScaleNormal="100" workbookViewId="0">
      <selection activeCell="A37" sqref="A37"/>
    </sheetView>
  </sheetViews>
  <sheetFormatPr baseColWidth="10" defaultRowHeight="15"/>
  <cols>
    <col min="2" max="2" width="56.5703125" customWidth="1"/>
  </cols>
  <sheetData>
    <row r="1" spans="2:13" s="117" customFormat="1" ht="21">
      <c r="B1" s="407" t="s">
        <v>433</v>
      </c>
      <c r="C1" s="408"/>
      <c r="D1" s="220"/>
      <c r="E1" s="220"/>
      <c r="F1" s="220"/>
      <c r="G1" s="220"/>
      <c r="H1" s="220"/>
      <c r="I1" s="220"/>
      <c r="J1" s="220"/>
    </row>
    <row r="2" spans="2:13" s="117" customFormat="1" ht="18.75">
      <c r="B2" s="409" t="s">
        <v>389</v>
      </c>
      <c r="C2" s="410">
        <v>0</v>
      </c>
      <c r="D2" s="410">
        <v>1</v>
      </c>
      <c r="E2" s="410">
        <v>2</v>
      </c>
      <c r="F2" s="410">
        <v>3</v>
      </c>
      <c r="G2" s="410">
        <v>4</v>
      </c>
      <c r="H2" s="1385" t="s">
        <v>390</v>
      </c>
      <c r="I2" s="1385"/>
      <c r="J2" s="1385"/>
    </row>
    <row r="3" spans="2:13" s="117" customFormat="1" ht="18.75">
      <c r="B3" s="411" t="s">
        <v>391</v>
      </c>
      <c r="C3" s="412"/>
      <c r="D3" s="413"/>
      <c r="E3" s="412"/>
      <c r="F3" s="413"/>
      <c r="G3" s="412"/>
      <c r="H3" s="1379"/>
      <c r="I3" s="1379"/>
      <c r="J3" s="1379"/>
    </row>
    <row r="4" spans="2:13" s="117" customFormat="1" ht="18.75">
      <c r="B4" s="411" t="s">
        <v>392</v>
      </c>
      <c r="C4" s="412"/>
      <c r="D4" s="412"/>
      <c r="E4" s="412"/>
      <c r="F4" s="412"/>
      <c r="G4" s="412"/>
      <c r="H4" s="1379"/>
      <c r="I4" s="1379"/>
      <c r="J4" s="1379"/>
    </row>
    <row r="5" spans="2:13" s="117" customFormat="1" ht="18.75">
      <c r="B5" s="411" t="s">
        <v>393</v>
      </c>
      <c r="C5" s="412"/>
      <c r="D5" s="412"/>
      <c r="E5" s="412"/>
      <c r="F5" s="414"/>
      <c r="G5" s="415"/>
      <c r="H5" s="1379"/>
      <c r="I5" s="1379"/>
      <c r="J5" s="1379"/>
    </row>
    <row r="6" spans="2:13" s="117" customFormat="1" ht="18.75">
      <c r="B6" s="411" t="s">
        <v>394</v>
      </c>
      <c r="C6" s="412"/>
      <c r="D6" s="412"/>
      <c r="E6" s="412"/>
      <c r="F6" s="413"/>
      <c r="G6" s="413"/>
      <c r="H6" s="1379"/>
      <c r="I6" s="1379"/>
      <c r="J6" s="1379"/>
    </row>
    <row r="7" spans="2:13" s="117" customFormat="1" ht="18.75">
      <c r="B7" s="411" t="s">
        <v>395</v>
      </c>
      <c r="C7" s="412"/>
      <c r="D7" s="412"/>
      <c r="E7" s="412"/>
      <c r="F7" s="413"/>
      <c r="G7" s="413"/>
      <c r="H7" s="1379"/>
      <c r="I7" s="1379"/>
      <c r="J7" s="1379"/>
    </row>
    <row r="8" spans="2:13" s="117" customFormat="1" ht="18.75">
      <c r="B8" s="411" t="s">
        <v>396</v>
      </c>
      <c r="C8" s="412"/>
      <c r="D8" s="412"/>
      <c r="E8" s="412"/>
      <c r="F8" s="413"/>
      <c r="G8" s="413"/>
      <c r="H8" s="1379"/>
      <c r="I8" s="1379"/>
      <c r="J8" s="1379"/>
    </row>
    <row r="9" spans="2:13" s="117" customFormat="1" ht="18.75">
      <c r="B9" s="411" t="s">
        <v>397</v>
      </c>
      <c r="C9" s="412"/>
      <c r="D9" s="412"/>
      <c r="E9" s="412"/>
      <c r="F9" s="416"/>
      <c r="G9" s="416"/>
      <c r="H9" s="1380"/>
      <c r="I9" s="1380"/>
      <c r="J9" s="1380"/>
    </row>
    <row r="10" spans="2:13" s="117" customFormat="1" ht="18.75">
      <c r="B10" s="417" t="s">
        <v>398</v>
      </c>
      <c r="C10" s="418">
        <f>SUM(C3:C9)</f>
        <v>0</v>
      </c>
      <c r="D10" s="418">
        <f t="shared" ref="D10:J10" si="0">SUM(D3:D9)</f>
        <v>0</v>
      </c>
      <c r="E10" s="418">
        <f t="shared" si="0"/>
        <v>0</v>
      </c>
      <c r="F10" s="418">
        <f t="shared" si="0"/>
        <v>0</v>
      </c>
      <c r="G10" s="418">
        <f t="shared" si="0"/>
        <v>0</v>
      </c>
      <c r="H10" s="1381">
        <f>SUM(C10:G10)</f>
        <v>0</v>
      </c>
      <c r="I10" s="1382">
        <f t="shared" si="0"/>
        <v>0</v>
      </c>
      <c r="J10" s="1383">
        <f t="shared" si="0"/>
        <v>0</v>
      </c>
    </row>
    <row r="11" spans="2:13" s="117" customFormat="1" ht="67.5" customHeight="1">
      <c r="B11" s="1384" t="s">
        <v>399</v>
      </c>
      <c r="C11" s="1384"/>
      <c r="D11" s="1384"/>
      <c r="E11" s="1384"/>
      <c r="F11" s="1384"/>
      <c r="G11" s="1384"/>
      <c r="H11" s="1384"/>
      <c r="I11" s="1384"/>
      <c r="J11" s="1384"/>
    </row>
    <row r="12" spans="2:13" s="117" customFormat="1" ht="19.5" thickBot="1">
      <c r="B12" s="409" t="s">
        <v>400</v>
      </c>
      <c r="C12" s="410">
        <v>0</v>
      </c>
      <c r="D12" s="410">
        <v>1</v>
      </c>
      <c r="E12" s="410">
        <v>2</v>
      </c>
      <c r="F12" s="410">
        <v>3</v>
      </c>
      <c r="G12" s="410">
        <v>4</v>
      </c>
      <c r="H12" s="1385" t="s">
        <v>401</v>
      </c>
      <c r="I12" s="1385"/>
      <c r="J12" s="1385"/>
    </row>
    <row r="13" spans="2:13" s="117" customFormat="1" ht="75.75" thickBot="1">
      <c r="B13" s="419" t="s">
        <v>391</v>
      </c>
      <c r="C13" s="420" t="s">
        <v>402</v>
      </c>
      <c r="D13" s="421"/>
      <c r="E13" s="420" t="s">
        <v>403</v>
      </c>
      <c r="F13" s="421"/>
      <c r="G13" s="422" t="s">
        <v>404</v>
      </c>
      <c r="H13" s="1376" t="s">
        <v>405</v>
      </c>
      <c r="I13" s="1377"/>
      <c r="J13" s="1378"/>
      <c r="M13" s="117" t="s">
        <v>46</v>
      </c>
    </row>
    <row r="14" spans="2:13" s="117" customFormat="1" ht="45.75" thickBot="1">
      <c r="B14" s="423" t="s">
        <v>392</v>
      </c>
      <c r="C14" s="424" t="s">
        <v>406</v>
      </c>
      <c r="D14" s="424" t="s">
        <v>407</v>
      </c>
      <c r="E14" s="424" t="s">
        <v>408</v>
      </c>
      <c r="F14" s="424" t="s">
        <v>409</v>
      </c>
      <c r="G14" s="425" t="s">
        <v>410</v>
      </c>
      <c r="H14" s="1376" t="s">
        <v>411</v>
      </c>
      <c r="I14" s="1377"/>
      <c r="J14" s="1378"/>
    </row>
    <row r="15" spans="2:13" s="117" customFormat="1" ht="105.75" thickBot="1">
      <c r="B15" s="426" t="s">
        <v>393</v>
      </c>
      <c r="C15" s="427" t="s">
        <v>412</v>
      </c>
      <c r="D15" s="427" t="s">
        <v>413</v>
      </c>
      <c r="E15" s="428" t="s">
        <v>414</v>
      </c>
      <c r="F15" s="429"/>
      <c r="G15" s="430" t="s">
        <v>415</v>
      </c>
      <c r="H15" s="1376" t="s">
        <v>416</v>
      </c>
      <c r="I15" s="1377"/>
      <c r="J15" s="1378"/>
    </row>
    <row r="16" spans="2:13" s="117" customFormat="1" ht="45.75" thickBot="1">
      <c r="B16" s="419" t="s">
        <v>394</v>
      </c>
      <c r="C16" s="420" t="s">
        <v>417</v>
      </c>
      <c r="D16" s="420" t="s">
        <v>418</v>
      </c>
      <c r="E16" s="420" t="s">
        <v>419</v>
      </c>
      <c r="F16" s="431"/>
      <c r="G16" s="432"/>
      <c r="H16" s="1376" t="s">
        <v>420</v>
      </c>
      <c r="I16" s="1377"/>
      <c r="J16" s="1378"/>
    </row>
    <row r="17" spans="2:11" s="117" customFormat="1" ht="60.75" thickBot="1">
      <c r="B17" s="419" t="s">
        <v>395</v>
      </c>
      <c r="C17" s="420" t="s">
        <v>421</v>
      </c>
      <c r="D17" s="420" t="s">
        <v>422</v>
      </c>
      <c r="E17" s="420" t="s">
        <v>423</v>
      </c>
      <c r="F17" s="431"/>
      <c r="G17" s="432"/>
      <c r="H17" s="1376" t="s">
        <v>424</v>
      </c>
      <c r="I17" s="1377"/>
      <c r="J17" s="1378"/>
    </row>
    <row r="18" spans="2:11" s="122" customFormat="1" ht="60.75" thickBot="1">
      <c r="B18" s="419" t="s">
        <v>396</v>
      </c>
      <c r="C18" s="420" t="s">
        <v>425</v>
      </c>
      <c r="D18" s="420" t="s">
        <v>426</v>
      </c>
      <c r="E18" s="420" t="s">
        <v>427</v>
      </c>
      <c r="F18" s="433"/>
      <c r="G18" s="434"/>
      <c r="H18" s="1376" t="s">
        <v>428</v>
      </c>
      <c r="I18" s="1377"/>
      <c r="J18" s="1378"/>
    </row>
    <row r="19" spans="2:11" s="117" customFormat="1" ht="30.75" thickBot="1">
      <c r="B19" s="435" t="s">
        <v>397</v>
      </c>
      <c r="C19" s="420" t="s">
        <v>429</v>
      </c>
      <c r="D19" s="420" t="s">
        <v>430</v>
      </c>
      <c r="E19" s="420" t="s">
        <v>431</v>
      </c>
      <c r="F19" s="436"/>
      <c r="G19" s="437"/>
      <c r="H19" s="1376" t="s">
        <v>432</v>
      </c>
      <c r="I19" s="1377"/>
      <c r="J19" s="1378"/>
      <c r="K19" s="168"/>
    </row>
  </sheetData>
  <mergeCells count="18">
    <mergeCell ref="H7:J7"/>
    <mergeCell ref="H2:J2"/>
    <mergeCell ref="H3:J3"/>
    <mergeCell ref="H4:J4"/>
    <mergeCell ref="H5:J5"/>
    <mergeCell ref="H6:J6"/>
    <mergeCell ref="H19:J19"/>
    <mergeCell ref="H8:J8"/>
    <mergeCell ref="H9:J9"/>
    <mergeCell ref="H10:J10"/>
    <mergeCell ref="B11:J11"/>
    <mergeCell ref="H12:J12"/>
    <mergeCell ref="H13:J13"/>
    <mergeCell ref="H14:J14"/>
    <mergeCell ref="H15:J15"/>
    <mergeCell ref="H16:J16"/>
    <mergeCell ref="H17:J17"/>
    <mergeCell ref="H18:J18"/>
  </mergeCells>
  <dataValidations count="1">
    <dataValidation type="whole" allowBlank="1" showInputMessage="1" showErrorMessage="1" promptTitle="Indicar puntuación 2" prompt="Indicar únicamente si hay puntuación" sqref="E3:E9" xr:uid="{00000000-0002-0000-1500-000000000000}">
      <formula1>2</formula1>
      <formula2>2</formula2>
    </dataValidation>
  </dataValidations>
  <pageMargins left="0.7" right="0.7" top="0.75" bottom="0.75" header="0.3" footer="0.3"/>
  <pageSetup paperSize="9" scale="54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5"/>
  <dimension ref="A1:S44"/>
  <sheetViews>
    <sheetView workbookViewId="0">
      <selection activeCell="U11" sqref="U11"/>
    </sheetView>
  </sheetViews>
  <sheetFormatPr baseColWidth="10" defaultColWidth="11.85546875" defaultRowHeight="15"/>
  <cols>
    <col min="1" max="1" width="16.42578125" style="465" customWidth="1"/>
    <col min="2" max="2" width="8.42578125" style="465" customWidth="1"/>
    <col min="3" max="3" width="9" style="465" customWidth="1"/>
    <col min="4" max="4" width="6.5703125" style="465" customWidth="1"/>
    <col min="5" max="5" width="7.140625" style="465" customWidth="1"/>
    <col min="6" max="6" width="7.42578125" style="465" customWidth="1"/>
    <col min="7" max="7" width="6.140625" style="465" bestFit="1" customWidth="1"/>
    <col min="8" max="8" width="6.140625" style="465" customWidth="1"/>
    <col min="9" max="9" width="6.140625" style="465" bestFit="1" customWidth="1"/>
    <col min="10" max="10" width="6" style="465" customWidth="1"/>
    <col min="11" max="11" width="11.85546875" style="465" customWidth="1"/>
    <col min="12" max="12" width="10.42578125" style="465" customWidth="1"/>
    <col min="13" max="13" width="9" style="465" bestFit="1" customWidth="1"/>
    <col min="14" max="17" width="9.28515625" style="465" customWidth="1"/>
    <col min="18" max="18" width="3.140625" style="465" customWidth="1"/>
    <col min="19" max="255" width="11.85546875" style="465"/>
    <col min="256" max="256" width="16.42578125" style="465" customWidth="1"/>
    <col min="257" max="257" width="8.42578125" style="465" customWidth="1"/>
    <col min="258" max="258" width="9" style="465" customWidth="1"/>
    <col min="259" max="259" width="6.5703125" style="465" customWidth="1"/>
    <col min="260" max="260" width="7.140625" style="465" customWidth="1"/>
    <col min="261" max="261" width="7.42578125" style="465" customWidth="1"/>
    <col min="262" max="262" width="6.140625" style="465" bestFit="1" customWidth="1"/>
    <col min="263" max="263" width="6.140625" style="465" customWidth="1"/>
    <col min="264" max="264" width="6.140625" style="465" bestFit="1" customWidth="1"/>
    <col min="265" max="265" width="6" style="465" customWidth="1"/>
    <col min="266" max="266" width="11.85546875" style="465" customWidth="1"/>
    <col min="267" max="267" width="10.42578125" style="465" customWidth="1"/>
    <col min="268" max="268" width="9" style="465" customWidth="1"/>
    <col min="269" max="269" width="9" style="465" bestFit="1" customWidth="1"/>
    <col min="270" max="273" width="9.28515625" style="465" customWidth="1"/>
    <col min="274" max="274" width="3.140625" style="465" customWidth="1"/>
    <col min="275" max="511" width="11.85546875" style="465"/>
    <col min="512" max="512" width="16.42578125" style="465" customWidth="1"/>
    <col min="513" max="513" width="8.42578125" style="465" customWidth="1"/>
    <col min="514" max="514" width="9" style="465" customWidth="1"/>
    <col min="515" max="515" width="6.5703125" style="465" customWidth="1"/>
    <col min="516" max="516" width="7.140625" style="465" customWidth="1"/>
    <col min="517" max="517" width="7.42578125" style="465" customWidth="1"/>
    <col min="518" max="518" width="6.140625" style="465" bestFit="1" customWidth="1"/>
    <col min="519" max="519" width="6.140625" style="465" customWidth="1"/>
    <col min="520" max="520" width="6.140625" style="465" bestFit="1" customWidth="1"/>
    <col min="521" max="521" width="6" style="465" customWidth="1"/>
    <col min="522" max="522" width="11.85546875" style="465" customWidth="1"/>
    <col min="523" max="523" width="10.42578125" style="465" customWidth="1"/>
    <col min="524" max="524" width="9" style="465" customWidth="1"/>
    <col min="525" max="525" width="9" style="465" bestFit="1" customWidth="1"/>
    <col min="526" max="529" width="9.28515625" style="465" customWidth="1"/>
    <col min="530" max="530" width="3.140625" style="465" customWidth="1"/>
    <col min="531" max="767" width="11.85546875" style="465"/>
    <col min="768" max="768" width="16.42578125" style="465" customWidth="1"/>
    <col min="769" max="769" width="8.42578125" style="465" customWidth="1"/>
    <col min="770" max="770" width="9" style="465" customWidth="1"/>
    <col min="771" max="771" width="6.5703125" style="465" customWidth="1"/>
    <col min="772" max="772" width="7.140625" style="465" customWidth="1"/>
    <col min="773" max="773" width="7.42578125" style="465" customWidth="1"/>
    <col min="774" max="774" width="6.140625" style="465" bestFit="1" customWidth="1"/>
    <col min="775" max="775" width="6.140625" style="465" customWidth="1"/>
    <col min="776" max="776" width="6.140625" style="465" bestFit="1" customWidth="1"/>
    <col min="777" max="777" width="6" style="465" customWidth="1"/>
    <col min="778" max="778" width="11.85546875" style="465" customWidth="1"/>
    <col min="779" max="779" width="10.42578125" style="465" customWidth="1"/>
    <col min="780" max="780" width="9" style="465" customWidth="1"/>
    <col min="781" max="781" width="9" style="465" bestFit="1" customWidth="1"/>
    <col min="782" max="785" width="9.28515625" style="465" customWidth="1"/>
    <col min="786" max="786" width="3.140625" style="465" customWidth="1"/>
    <col min="787" max="1023" width="11.85546875" style="465"/>
    <col min="1024" max="1024" width="16.42578125" style="465" customWidth="1"/>
    <col min="1025" max="1025" width="8.42578125" style="465" customWidth="1"/>
    <col min="1026" max="1026" width="9" style="465" customWidth="1"/>
    <col min="1027" max="1027" width="6.5703125" style="465" customWidth="1"/>
    <col min="1028" max="1028" width="7.140625" style="465" customWidth="1"/>
    <col min="1029" max="1029" width="7.42578125" style="465" customWidth="1"/>
    <col min="1030" max="1030" width="6.140625" style="465" bestFit="1" customWidth="1"/>
    <col min="1031" max="1031" width="6.140625" style="465" customWidth="1"/>
    <col min="1032" max="1032" width="6.140625" style="465" bestFit="1" customWidth="1"/>
    <col min="1033" max="1033" width="6" style="465" customWidth="1"/>
    <col min="1034" max="1034" width="11.85546875" style="465" customWidth="1"/>
    <col min="1035" max="1035" width="10.42578125" style="465" customWidth="1"/>
    <col min="1036" max="1036" width="9" style="465" customWidth="1"/>
    <col min="1037" max="1037" width="9" style="465" bestFit="1" customWidth="1"/>
    <col min="1038" max="1041" width="9.28515625" style="465" customWidth="1"/>
    <col min="1042" max="1042" width="3.140625" style="465" customWidth="1"/>
    <col min="1043" max="1279" width="11.85546875" style="465"/>
    <col min="1280" max="1280" width="16.42578125" style="465" customWidth="1"/>
    <col min="1281" max="1281" width="8.42578125" style="465" customWidth="1"/>
    <col min="1282" max="1282" width="9" style="465" customWidth="1"/>
    <col min="1283" max="1283" width="6.5703125" style="465" customWidth="1"/>
    <col min="1284" max="1284" width="7.140625" style="465" customWidth="1"/>
    <col min="1285" max="1285" width="7.42578125" style="465" customWidth="1"/>
    <col min="1286" max="1286" width="6.140625" style="465" bestFit="1" customWidth="1"/>
    <col min="1287" max="1287" width="6.140625" style="465" customWidth="1"/>
    <col min="1288" max="1288" width="6.140625" style="465" bestFit="1" customWidth="1"/>
    <col min="1289" max="1289" width="6" style="465" customWidth="1"/>
    <col min="1290" max="1290" width="11.85546875" style="465" customWidth="1"/>
    <col min="1291" max="1291" width="10.42578125" style="465" customWidth="1"/>
    <col min="1292" max="1292" width="9" style="465" customWidth="1"/>
    <col min="1293" max="1293" width="9" style="465" bestFit="1" customWidth="1"/>
    <col min="1294" max="1297" width="9.28515625" style="465" customWidth="1"/>
    <col min="1298" max="1298" width="3.140625" style="465" customWidth="1"/>
    <col min="1299" max="1535" width="11.85546875" style="465"/>
    <col min="1536" max="1536" width="16.42578125" style="465" customWidth="1"/>
    <col min="1537" max="1537" width="8.42578125" style="465" customWidth="1"/>
    <col min="1538" max="1538" width="9" style="465" customWidth="1"/>
    <col min="1539" max="1539" width="6.5703125" style="465" customWidth="1"/>
    <col min="1540" max="1540" width="7.140625" style="465" customWidth="1"/>
    <col min="1541" max="1541" width="7.42578125" style="465" customWidth="1"/>
    <col min="1542" max="1542" width="6.140625" style="465" bestFit="1" customWidth="1"/>
    <col min="1543" max="1543" width="6.140625" style="465" customWidth="1"/>
    <col min="1544" max="1544" width="6.140625" style="465" bestFit="1" customWidth="1"/>
    <col min="1545" max="1545" width="6" style="465" customWidth="1"/>
    <col min="1546" max="1546" width="11.85546875" style="465" customWidth="1"/>
    <col min="1547" max="1547" width="10.42578125" style="465" customWidth="1"/>
    <col min="1548" max="1548" width="9" style="465" customWidth="1"/>
    <col min="1549" max="1549" width="9" style="465" bestFit="1" customWidth="1"/>
    <col min="1550" max="1553" width="9.28515625" style="465" customWidth="1"/>
    <col min="1554" max="1554" width="3.140625" style="465" customWidth="1"/>
    <col min="1555" max="1791" width="11.85546875" style="465"/>
    <col min="1792" max="1792" width="16.42578125" style="465" customWidth="1"/>
    <col min="1793" max="1793" width="8.42578125" style="465" customWidth="1"/>
    <col min="1794" max="1794" width="9" style="465" customWidth="1"/>
    <col min="1795" max="1795" width="6.5703125" style="465" customWidth="1"/>
    <col min="1796" max="1796" width="7.140625" style="465" customWidth="1"/>
    <col min="1797" max="1797" width="7.42578125" style="465" customWidth="1"/>
    <col min="1798" max="1798" width="6.140625" style="465" bestFit="1" customWidth="1"/>
    <col min="1799" max="1799" width="6.140625" style="465" customWidth="1"/>
    <col min="1800" max="1800" width="6.140625" style="465" bestFit="1" customWidth="1"/>
    <col min="1801" max="1801" width="6" style="465" customWidth="1"/>
    <col min="1802" max="1802" width="11.85546875" style="465" customWidth="1"/>
    <col min="1803" max="1803" width="10.42578125" style="465" customWidth="1"/>
    <col min="1804" max="1804" width="9" style="465" customWidth="1"/>
    <col min="1805" max="1805" width="9" style="465" bestFit="1" customWidth="1"/>
    <col min="1806" max="1809" width="9.28515625" style="465" customWidth="1"/>
    <col min="1810" max="1810" width="3.140625" style="465" customWidth="1"/>
    <col min="1811" max="2047" width="11.85546875" style="465"/>
    <col min="2048" max="2048" width="16.42578125" style="465" customWidth="1"/>
    <col min="2049" max="2049" width="8.42578125" style="465" customWidth="1"/>
    <col min="2050" max="2050" width="9" style="465" customWidth="1"/>
    <col min="2051" max="2051" width="6.5703125" style="465" customWidth="1"/>
    <col min="2052" max="2052" width="7.140625" style="465" customWidth="1"/>
    <col min="2053" max="2053" width="7.42578125" style="465" customWidth="1"/>
    <col min="2054" max="2054" width="6.140625" style="465" bestFit="1" customWidth="1"/>
    <col min="2055" max="2055" width="6.140625" style="465" customWidth="1"/>
    <col min="2056" max="2056" width="6.140625" style="465" bestFit="1" customWidth="1"/>
    <col min="2057" max="2057" width="6" style="465" customWidth="1"/>
    <col min="2058" max="2058" width="11.85546875" style="465" customWidth="1"/>
    <col min="2059" max="2059" width="10.42578125" style="465" customWidth="1"/>
    <col min="2060" max="2060" width="9" style="465" customWidth="1"/>
    <col min="2061" max="2061" width="9" style="465" bestFit="1" customWidth="1"/>
    <col min="2062" max="2065" width="9.28515625" style="465" customWidth="1"/>
    <col min="2066" max="2066" width="3.140625" style="465" customWidth="1"/>
    <col min="2067" max="2303" width="11.85546875" style="465"/>
    <col min="2304" max="2304" width="16.42578125" style="465" customWidth="1"/>
    <col min="2305" max="2305" width="8.42578125" style="465" customWidth="1"/>
    <col min="2306" max="2306" width="9" style="465" customWidth="1"/>
    <col min="2307" max="2307" width="6.5703125" style="465" customWidth="1"/>
    <col min="2308" max="2308" width="7.140625" style="465" customWidth="1"/>
    <col min="2309" max="2309" width="7.42578125" style="465" customWidth="1"/>
    <col min="2310" max="2310" width="6.140625" style="465" bestFit="1" customWidth="1"/>
    <col min="2311" max="2311" width="6.140625" style="465" customWidth="1"/>
    <col min="2312" max="2312" width="6.140625" style="465" bestFit="1" customWidth="1"/>
    <col min="2313" max="2313" width="6" style="465" customWidth="1"/>
    <col min="2314" max="2314" width="11.85546875" style="465" customWidth="1"/>
    <col min="2315" max="2315" width="10.42578125" style="465" customWidth="1"/>
    <col min="2316" max="2316" width="9" style="465" customWidth="1"/>
    <col min="2317" max="2317" width="9" style="465" bestFit="1" customWidth="1"/>
    <col min="2318" max="2321" width="9.28515625" style="465" customWidth="1"/>
    <col min="2322" max="2322" width="3.140625" style="465" customWidth="1"/>
    <col min="2323" max="2559" width="11.85546875" style="465"/>
    <col min="2560" max="2560" width="16.42578125" style="465" customWidth="1"/>
    <col min="2561" max="2561" width="8.42578125" style="465" customWidth="1"/>
    <col min="2562" max="2562" width="9" style="465" customWidth="1"/>
    <col min="2563" max="2563" width="6.5703125" style="465" customWidth="1"/>
    <col min="2564" max="2564" width="7.140625" style="465" customWidth="1"/>
    <col min="2565" max="2565" width="7.42578125" style="465" customWidth="1"/>
    <col min="2566" max="2566" width="6.140625" style="465" bestFit="1" customWidth="1"/>
    <col min="2567" max="2567" width="6.140625" style="465" customWidth="1"/>
    <col min="2568" max="2568" width="6.140625" style="465" bestFit="1" customWidth="1"/>
    <col min="2569" max="2569" width="6" style="465" customWidth="1"/>
    <col min="2570" max="2570" width="11.85546875" style="465" customWidth="1"/>
    <col min="2571" max="2571" width="10.42578125" style="465" customWidth="1"/>
    <col min="2572" max="2572" width="9" style="465" customWidth="1"/>
    <col min="2573" max="2573" width="9" style="465" bestFit="1" customWidth="1"/>
    <col min="2574" max="2577" width="9.28515625" style="465" customWidth="1"/>
    <col min="2578" max="2578" width="3.140625" style="465" customWidth="1"/>
    <col min="2579" max="2815" width="11.85546875" style="465"/>
    <col min="2816" max="2816" width="16.42578125" style="465" customWidth="1"/>
    <col min="2817" max="2817" width="8.42578125" style="465" customWidth="1"/>
    <col min="2818" max="2818" width="9" style="465" customWidth="1"/>
    <col min="2819" max="2819" width="6.5703125" style="465" customWidth="1"/>
    <col min="2820" max="2820" width="7.140625" style="465" customWidth="1"/>
    <col min="2821" max="2821" width="7.42578125" style="465" customWidth="1"/>
    <col min="2822" max="2822" width="6.140625" style="465" bestFit="1" customWidth="1"/>
    <col min="2823" max="2823" width="6.140625" style="465" customWidth="1"/>
    <col min="2824" max="2824" width="6.140625" style="465" bestFit="1" customWidth="1"/>
    <col min="2825" max="2825" width="6" style="465" customWidth="1"/>
    <col min="2826" max="2826" width="11.85546875" style="465" customWidth="1"/>
    <col min="2827" max="2827" width="10.42578125" style="465" customWidth="1"/>
    <col min="2828" max="2828" width="9" style="465" customWidth="1"/>
    <col min="2829" max="2829" width="9" style="465" bestFit="1" customWidth="1"/>
    <col min="2830" max="2833" width="9.28515625" style="465" customWidth="1"/>
    <col min="2834" max="2834" width="3.140625" style="465" customWidth="1"/>
    <col min="2835" max="3071" width="11.85546875" style="465"/>
    <col min="3072" max="3072" width="16.42578125" style="465" customWidth="1"/>
    <col min="3073" max="3073" width="8.42578125" style="465" customWidth="1"/>
    <col min="3074" max="3074" width="9" style="465" customWidth="1"/>
    <col min="3075" max="3075" width="6.5703125" style="465" customWidth="1"/>
    <col min="3076" max="3076" width="7.140625" style="465" customWidth="1"/>
    <col min="3077" max="3077" width="7.42578125" style="465" customWidth="1"/>
    <col min="3078" max="3078" width="6.140625" style="465" bestFit="1" customWidth="1"/>
    <col min="3079" max="3079" width="6.140625" style="465" customWidth="1"/>
    <col min="3080" max="3080" width="6.140625" style="465" bestFit="1" customWidth="1"/>
    <col min="3081" max="3081" width="6" style="465" customWidth="1"/>
    <col min="3082" max="3082" width="11.85546875" style="465" customWidth="1"/>
    <col min="3083" max="3083" width="10.42578125" style="465" customWidth="1"/>
    <col min="3084" max="3084" width="9" style="465" customWidth="1"/>
    <col min="3085" max="3085" width="9" style="465" bestFit="1" customWidth="1"/>
    <col min="3086" max="3089" width="9.28515625" style="465" customWidth="1"/>
    <col min="3090" max="3090" width="3.140625" style="465" customWidth="1"/>
    <col min="3091" max="3327" width="11.85546875" style="465"/>
    <col min="3328" max="3328" width="16.42578125" style="465" customWidth="1"/>
    <col min="3329" max="3329" width="8.42578125" style="465" customWidth="1"/>
    <col min="3330" max="3330" width="9" style="465" customWidth="1"/>
    <col min="3331" max="3331" width="6.5703125" style="465" customWidth="1"/>
    <col min="3332" max="3332" width="7.140625" style="465" customWidth="1"/>
    <col min="3333" max="3333" width="7.42578125" style="465" customWidth="1"/>
    <col min="3334" max="3334" width="6.140625" style="465" bestFit="1" customWidth="1"/>
    <col min="3335" max="3335" width="6.140625" style="465" customWidth="1"/>
    <col min="3336" max="3336" width="6.140625" style="465" bestFit="1" customWidth="1"/>
    <col min="3337" max="3337" width="6" style="465" customWidth="1"/>
    <col min="3338" max="3338" width="11.85546875" style="465" customWidth="1"/>
    <col min="3339" max="3339" width="10.42578125" style="465" customWidth="1"/>
    <col min="3340" max="3340" width="9" style="465" customWidth="1"/>
    <col min="3341" max="3341" width="9" style="465" bestFit="1" customWidth="1"/>
    <col min="3342" max="3345" width="9.28515625" style="465" customWidth="1"/>
    <col min="3346" max="3346" width="3.140625" style="465" customWidth="1"/>
    <col min="3347" max="3583" width="11.85546875" style="465"/>
    <col min="3584" max="3584" width="16.42578125" style="465" customWidth="1"/>
    <col min="3585" max="3585" width="8.42578125" style="465" customWidth="1"/>
    <col min="3586" max="3586" width="9" style="465" customWidth="1"/>
    <col min="3587" max="3587" width="6.5703125" style="465" customWidth="1"/>
    <col min="3588" max="3588" width="7.140625" style="465" customWidth="1"/>
    <col min="3589" max="3589" width="7.42578125" style="465" customWidth="1"/>
    <col min="3590" max="3590" width="6.140625" style="465" bestFit="1" customWidth="1"/>
    <col min="3591" max="3591" width="6.140625" style="465" customWidth="1"/>
    <col min="3592" max="3592" width="6.140625" style="465" bestFit="1" customWidth="1"/>
    <col min="3593" max="3593" width="6" style="465" customWidth="1"/>
    <col min="3594" max="3594" width="11.85546875" style="465" customWidth="1"/>
    <col min="3595" max="3595" width="10.42578125" style="465" customWidth="1"/>
    <col min="3596" max="3596" width="9" style="465" customWidth="1"/>
    <col min="3597" max="3597" width="9" style="465" bestFit="1" customWidth="1"/>
    <col min="3598" max="3601" width="9.28515625" style="465" customWidth="1"/>
    <col min="3602" max="3602" width="3.140625" style="465" customWidth="1"/>
    <col min="3603" max="3839" width="11.85546875" style="465"/>
    <col min="3840" max="3840" width="16.42578125" style="465" customWidth="1"/>
    <col min="3841" max="3841" width="8.42578125" style="465" customWidth="1"/>
    <col min="3842" max="3842" width="9" style="465" customWidth="1"/>
    <col min="3843" max="3843" width="6.5703125" style="465" customWidth="1"/>
    <col min="3844" max="3844" width="7.140625" style="465" customWidth="1"/>
    <col min="3845" max="3845" width="7.42578125" style="465" customWidth="1"/>
    <col min="3846" max="3846" width="6.140625" style="465" bestFit="1" customWidth="1"/>
    <col min="3847" max="3847" width="6.140625" style="465" customWidth="1"/>
    <col min="3848" max="3848" width="6.140625" style="465" bestFit="1" customWidth="1"/>
    <col min="3849" max="3849" width="6" style="465" customWidth="1"/>
    <col min="3850" max="3850" width="11.85546875" style="465" customWidth="1"/>
    <col min="3851" max="3851" width="10.42578125" style="465" customWidth="1"/>
    <col min="3852" max="3852" width="9" style="465" customWidth="1"/>
    <col min="3853" max="3853" width="9" style="465" bestFit="1" customWidth="1"/>
    <col min="3854" max="3857" width="9.28515625" style="465" customWidth="1"/>
    <col min="3858" max="3858" width="3.140625" style="465" customWidth="1"/>
    <col min="3859" max="4095" width="11.85546875" style="465"/>
    <col min="4096" max="4096" width="16.42578125" style="465" customWidth="1"/>
    <col min="4097" max="4097" width="8.42578125" style="465" customWidth="1"/>
    <col min="4098" max="4098" width="9" style="465" customWidth="1"/>
    <col min="4099" max="4099" width="6.5703125" style="465" customWidth="1"/>
    <col min="4100" max="4100" width="7.140625" style="465" customWidth="1"/>
    <col min="4101" max="4101" width="7.42578125" style="465" customWidth="1"/>
    <col min="4102" max="4102" width="6.140625" style="465" bestFit="1" customWidth="1"/>
    <col min="4103" max="4103" width="6.140625" style="465" customWidth="1"/>
    <col min="4104" max="4104" width="6.140625" style="465" bestFit="1" customWidth="1"/>
    <col min="4105" max="4105" width="6" style="465" customWidth="1"/>
    <col min="4106" max="4106" width="11.85546875" style="465" customWidth="1"/>
    <col min="4107" max="4107" width="10.42578125" style="465" customWidth="1"/>
    <col min="4108" max="4108" width="9" style="465" customWidth="1"/>
    <col min="4109" max="4109" width="9" style="465" bestFit="1" customWidth="1"/>
    <col min="4110" max="4113" width="9.28515625" style="465" customWidth="1"/>
    <col min="4114" max="4114" width="3.140625" style="465" customWidth="1"/>
    <col min="4115" max="4351" width="11.85546875" style="465"/>
    <col min="4352" max="4352" width="16.42578125" style="465" customWidth="1"/>
    <col min="4353" max="4353" width="8.42578125" style="465" customWidth="1"/>
    <col min="4354" max="4354" width="9" style="465" customWidth="1"/>
    <col min="4355" max="4355" width="6.5703125" style="465" customWidth="1"/>
    <col min="4356" max="4356" width="7.140625" style="465" customWidth="1"/>
    <col min="4357" max="4357" width="7.42578125" style="465" customWidth="1"/>
    <col min="4358" max="4358" width="6.140625" style="465" bestFit="1" customWidth="1"/>
    <col min="4359" max="4359" width="6.140625" style="465" customWidth="1"/>
    <col min="4360" max="4360" width="6.140625" style="465" bestFit="1" customWidth="1"/>
    <col min="4361" max="4361" width="6" style="465" customWidth="1"/>
    <col min="4362" max="4362" width="11.85546875" style="465" customWidth="1"/>
    <col min="4363" max="4363" width="10.42578125" style="465" customWidth="1"/>
    <col min="4364" max="4364" width="9" style="465" customWidth="1"/>
    <col min="4365" max="4365" width="9" style="465" bestFit="1" customWidth="1"/>
    <col min="4366" max="4369" width="9.28515625" style="465" customWidth="1"/>
    <col min="4370" max="4370" width="3.140625" style="465" customWidth="1"/>
    <col min="4371" max="4607" width="11.85546875" style="465"/>
    <col min="4608" max="4608" width="16.42578125" style="465" customWidth="1"/>
    <col min="4609" max="4609" width="8.42578125" style="465" customWidth="1"/>
    <col min="4610" max="4610" width="9" style="465" customWidth="1"/>
    <col min="4611" max="4611" width="6.5703125" style="465" customWidth="1"/>
    <col min="4612" max="4612" width="7.140625" style="465" customWidth="1"/>
    <col min="4613" max="4613" width="7.42578125" style="465" customWidth="1"/>
    <col min="4614" max="4614" width="6.140625" style="465" bestFit="1" customWidth="1"/>
    <col min="4615" max="4615" width="6.140625" style="465" customWidth="1"/>
    <col min="4616" max="4616" width="6.140625" style="465" bestFit="1" customWidth="1"/>
    <col min="4617" max="4617" width="6" style="465" customWidth="1"/>
    <col min="4618" max="4618" width="11.85546875" style="465" customWidth="1"/>
    <col min="4619" max="4619" width="10.42578125" style="465" customWidth="1"/>
    <col min="4620" max="4620" width="9" style="465" customWidth="1"/>
    <col min="4621" max="4621" width="9" style="465" bestFit="1" customWidth="1"/>
    <col min="4622" max="4625" width="9.28515625" style="465" customWidth="1"/>
    <col min="4626" max="4626" width="3.140625" style="465" customWidth="1"/>
    <col min="4627" max="4863" width="11.85546875" style="465"/>
    <col min="4864" max="4864" width="16.42578125" style="465" customWidth="1"/>
    <col min="4865" max="4865" width="8.42578125" style="465" customWidth="1"/>
    <col min="4866" max="4866" width="9" style="465" customWidth="1"/>
    <col min="4867" max="4867" width="6.5703125" style="465" customWidth="1"/>
    <col min="4868" max="4868" width="7.140625" style="465" customWidth="1"/>
    <col min="4869" max="4869" width="7.42578125" style="465" customWidth="1"/>
    <col min="4870" max="4870" width="6.140625" style="465" bestFit="1" customWidth="1"/>
    <col min="4871" max="4871" width="6.140625" style="465" customWidth="1"/>
    <col min="4872" max="4872" width="6.140625" style="465" bestFit="1" customWidth="1"/>
    <col min="4873" max="4873" width="6" style="465" customWidth="1"/>
    <col min="4874" max="4874" width="11.85546875" style="465" customWidth="1"/>
    <col min="4875" max="4875" width="10.42578125" style="465" customWidth="1"/>
    <col min="4876" max="4876" width="9" style="465" customWidth="1"/>
    <col min="4877" max="4877" width="9" style="465" bestFit="1" customWidth="1"/>
    <col min="4878" max="4881" width="9.28515625" style="465" customWidth="1"/>
    <col min="4882" max="4882" width="3.140625" style="465" customWidth="1"/>
    <col min="4883" max="5119" width="11.85546875" style="465"/>
    <col min="5120" max="5120" width="16.42578125" style="465" customWidth="1"/>
    <col min="5121" max="5121" width="8.42578125" style="465" customWidth="1"/>
    <col min="5122" max="5122" width="9" style="465" customWidth="1"/>
    <col min="5123" max="5123" width="6.5703125" style="465" customWidth="1"/>
    <col min="5124" max="5124" width="7.140625" style="465" customWidth="1"/>
    <col min="5125" max="5125" width="7.42578125" style="465" customWidth="1"/>
    <col min="5126" max="5126" width="6.140625" style="465" bestFit="1" customWidth="1"/>
    <col min="5127" max="5127" width="6.140625" style="465" customWidth="1"/>
    <col min="5128" max="5128" width="6.140625" style="465" bestFit="1" customWidth="1"/>
    <col min="5129" max="5129" width="6" style="465" customWidth="1"/>
    <col min="5130" max="5130" width="11.85546875" style="465" customWidth="1"/>
    <col min="5131" max="5131" width="10.42578125" style="465" customWidth="1"/>
    <col min="5132" max="5132" width="9" style="465" customWidth="1"/>
    <col min="5133" max="5133" width="9" style="465" bestFit="1" customWidth="1"/>
    <col min="5134" max="5137" width="9.28515625" style="465" customWidth="1"/>
    <col min="5138" max="5138" width="3.140625" style="465" customWidth="1"/>
    <col min="5139" max="5375" width="11.85546875" style="465"/>
    <col min="5376" max="5376" width="16.42578125" style="465" customWidth="1"/>
    <col min="5377" max="5377" width="8.42578125" style="465" customWidth="1"/>
    <col min="5378" max="5378" width="9" style="465" customWidth="1"/>
    <col min="5379" max="5379" width="6.5703125" style="465" customWidth="1"/>
    <col min="5380" max="5380" width="7.140625" style="465" customWidth="1"/>
    <col min="5381" max="5381" width="7.42578125" style="465" customWidth="1"/>
    <col min="5382" max="5382" width="6.140625" style="465" bestFit="1" customWidth="1"/>
    <col min="5383" max="5383" width="6.140625" style="465" customWidth="1"/>
    <col min="5384" max="5384" width="6.140625" style="465" bestFit="1" customWidth="1"/>
    <col min="5385" max="5385" width="6" style="465" customWidth="1"/>
    <col min="5386" max="5386" width="11.85546875" style="465" customWidth="1"/>
    <col min="5387" max="5387" width="10.42578125" style="465" customWidth="1"/>
    <col min="5388" max="5388" width="9" style="465" customWidth="1"/>
    <col min="5389" max="5389" width="9" style="465" bestFit="1" customWidth="1"/>
    <col min="5390" max="5393" width="9.28515625" style="465" customWidth="1"/>
    <col min="5394" max="5394" width="3.140625" style="465" customWidth="1"/>
    <col min="5395" max="5631" width="11.85546875" style="465"/>
    <col min="5632" max="5632" width="16.42578125" style="465" customWidth="1"/>
    <col min="5633" max="5633" width="8.42578125" style="465" customWidth="1"/>
    <col min="5634" max="5634" width="9" style="465" customWidth="1"/>
    <col min="5635" max="5635" width="6.5703125" style="465" customWidth="1"/>
    <col min="5636" max="5636" width="7.140625" style="465" customWidth="1"/>
    <col min="5637" max="5637" width="7.42578125" style="465" customWidth="1"/>
    <col min="5638" max="5638" width="6.140625" style="465" bestFit="1" customWidth="1"/>
    <col min="5639" max="5639" width="6.140625" style="465" customWidth="1"/>
    <col min="5640" max="5640" width="6.140625" style="465" bestFit="1" customWidth="1"/>
    <col min="5641" max="5641" width="6" style="465" customWidth="1"/>
    <col min="5642" max="5642" width="11.85546875" style="465" customWidth="1"/>
    <col min="5643" max="5643" width="10.42578125" style="465" customWidth="1"/>
    <col min="5644" max="5644" width="9" style="465" customWidth="1"/>
    <col min="5645" max="5645" width="9" style="465" bestFit="1" customWidth="1"/>
    <col min="5646" max="5649" width="9.28515625" style="465" customWidth="1"/>
    <col min="5650" max="5650" width="3.140625" style="465" customWidth="1"/>
    <col min="5651" max="5887" width="11.85546875" style="465"/>
    <col min="5888" max="5888" width="16.42578125" style="465" customWidth="1"/>
    <col min="5889" max="5889" width="8.42578125" style="465" customWidth="1"/>
    <col min="5890" max="5890" width="9" style="465" customWidth="1"/>
    <col min="5891" max="5891" width="6.5703125" style="465" customWidth="1"/>
    <col min="5892" max="5892" width="7.140625" style="465" customWidth="1"/>
    <col min="5893" max="5893" width="7.42578125" style="465" customWidth="1"/>
    <col min="5894" max="5894" width="6.140625" style="465" bestFit="1" customWidth="1"/>
    <col min="5895" max="5895" width="6.140625" style="465" customWidth="1"/>
    <col min="5896" max="5896" width="6.140625" style="465" bestFit="1" customWidth="1"/>
    <col min="5897" max="5897" width="6" style="465" customWidth="1"/>
    <col min="5898" max="5898" width="11.85546875" style="465" customWidth="1"/>
    <col min="5899" max="5899" width="10.42578125" style="465" customWidth="1"/>
    <col min="5900" max="5900" width="9" style="465" customWidth="1"/>
    <col min="5901" max="5901" width="9" style="465" bestFit="1" customWidth="1"/>
    <col min="5902" max="5905" width="9.28515625" style="465" customWidth="1"/>
    <col min="5906" max="5906" width="3.140625" style="465" customWidth="1"/>
    <col min="5907" max="6143" width="11.85546875" style="465"/>
    <col min="6144" max="6144" width="16.42578125" style="465" customWidth="1"/>
    <col min="6145" max="6145" width="8.42578125" style="465" customWidth="1"/>
    <col min="6146" max="6146" width="9" style="465" customWidth="1"/>
    <col min="6147" max="6147" width="6.5703125" style="465" customWidth="1"/>
    <col min="6148" max="6148" width="7.140625" style="465" customWidth="1"/>
    <col min="6149" max="6149" width="7.42578125" style="465" customWidth="1"/>
    <col min="6150" max="6150" width="6.140625" style="465" bestFit="1" customWidth="1"/>
    <col min="6151" max="6151" width="6.140625" style="465" customWidth="1"/>
    <col min="6152" max="6152" width="6.140625" style="465" bestFit="1" customWidth="1"/>
    <col min="6153" max="6153" width="6" style="465" customWidth="1"/>
    <col min="6154" max="6154" width="11.85546875" style="465" customWidth="1"/>
    <col min="6155" max="6155" width="10.42578125" style="465" customWidth="1"/>
    <col min="6156" max="6156" width="9" style="465" customWidth="1"/>
    <col min="6157" max="6157" width="9" style="465" bestFit="1" customWidth="1"/>
    <col min="6158" max="6161" width="9.28515625" style="465" customWidth="1"/>
    <col min="6162" max="6162" width="3.140625" style="465" customWidth="1"/>
    <col min="6163" max="6399" width="11.85546875" style="465"/>
    <col min="6400" max="6400" width="16.42578125" style="465" customWidth="1"/>
    <col min="6401" max="6401" width="8.42578125" style="465" customWidth="1"/>
    <col min="6402" max="6402" width="9" style="465" customWidth="1"/>
    <col min="6403" max="6403" width="6.5703125" style="465" customWidth="1"/>
    <col min="6404" max="6404" width="7.140625" style="465" customWidth="1"/>
    <col min="6405" max="6405" width="7.42578125" style="465" customWidth="1"/>
    <col min="6406" max="6406" width="6.140625" style="465" bestFit="1" customWidth="1"/>
    <col min="6407" max="6407" width="6.140625" style="465" customWidth="1"/>
    <col min="6408" max="6408" width="6.140625" style="465" bestFit="1" customWidth="1"/>
    <col min="6409" max="6409" width="6" style="465" customWidth="1"/>
    <col min="6410" max="6410" width="11.85546875" style="465" customWidth="1"/>
    <col min="6411" max="6411" width="10.42578125" style="465" customWidth="1"/>
    <col min="6412" max="6412" width="9" style="465" customWidth="1"/>
    <col min="6413" max="6413" width="9" style="465" bestFit="1" customWidth="1"/>
    <col min="6414" max="6417" width="9.28515625" style="465" customWidth="1"/>
    <col min="6418" max="6418" width="3.140625" style="465" customWidth="1"/>
    <col min="6419" max="6655" width="11.85546875" style="465"/>
    <col min="6656" max="6656" width="16.42578125" style="465" customWidth="1"/>
    <col min="6657" max="6657" width="8.42578125" style="465" customWidth="1"/>
    <col min="6658" max="6658" width="9" style="465" customWidth="1"/>
    <col min="6659" max="6659" width="6.5703125" style="465" customWidth="1"/>
    <col min="6660" max="6660" width="7.140625" style="465" customWidth="1"/>
    <col min="6661" max="6661" width="7.42578125" style="465" customWidth="1"/>
    <col min="6662" max="6662" width="6.140625" style="465" bestFit="1" customWidth="1"/>
    <col min="6663" max="6663" width="6.140625" style="465" customWidth="1"/>
    <col min="6664" max="6664" width="6.140625" style="465" bestFit="1" customWidth="1"/>
    <col min="6665" max="6665" width="6" style="465" customWidth="1"/>
    <col min="6666" max="6666" width="11.85546875" style="465" customWidth="1"/>
    <col min="6667" max="6667" width="10.42578125" style="465" customWidth="1"/>
    <col min="6668" max="6668" width="9" style="465" customWidth="1"/>
    <col min="6669" max="6669" width="9" style="465" bestFit="1" customWidth="1"/>
    <col min="6670" max="6673" width="9.28515625" style="465" customWidth="1"/>
    <col min="6674" max="6674" width="3.140625" style="465" customWidth="1"/>
    <col min="6675" max="6911" width="11.85546875" style="465"/>
    <col min="6912" max="6912" width="16.42578125" style="465" customWidth="1"/>
    <col min="6913" max="6913" width="8.42578125" style="465" customWidth="1"/>
    <col min="6914" max="6914" width="9" style="465" customWidth="1"/>
    <col min="6915" max="6915" width="6.5703125" style="465" customWidth="1"/>
    <col min="6916" max="6916" width="7.140625" style="465" customWidth="1"/>
    <col min="6917" max="6917" width="7.42578125" style="465" customWidth="1"/>
    <col min="6918" max="6918" width="6.140625" style="465" bestFit="1" customWidth="1"/>
    <col min="6919" max="6919" width="6.140625" style="465" customWidth="1"/>
    <col min="6920" max="6920" width="6.140625" style="465" bestFit="1" customWidth="1"/>
    <col min="6921" max="6921" width="6" style="465" customWidth="1"/>
    <col min="6922" max="6922" width="11.85546875" style="465" customWidth="1"/>
    <col min="6923" max="6923" width="10.42578125" style="465" customWidth="1"/>
    <col min="6924" max="6924" width="9" style="465" customWidth="1"/>
    <col min="6925" max="6925" width="9" style="465" bestFit="1" customWidth="1"/>
    <col min="6926" max="6929" width="9.28515625" style="465" customWidth="1"/>
    <col min="6930" max="6930" width="3.140625" style="465" customWidth="1"/>
    <col min="6931" max="7167" width="11.85546875" style="465"/>
    <col min="7168" max="7168" width="16.42578125" style="465" customWidth="1"/>
    <col min="7169" max="7169" width="8.42578125" style="465" customWidth="1"/>
    <col min="7170" max="7170" width="9" style="465" customWidth="1"/>
    <col min="7171" max="7171" width="6.5703125" style="465" customWidth="1"/>
    <col min="7172" max="7172" width="7.140625" style="465" customWidth="1"/>
    <col min="7173" max="7173" width="7.42578125" style="465" customWidth="1"/>
    <col min="7174" max="7174" width="6.140625" style="465" bestFit="1" customWidth="1"/>
    <col min="7175" max="7175" width="6.140625" style="465" customWidth="1"/>
    <col min="7176" max="7176" width="6.140625" style="465" bestFit="1" customWidth="1"/>
    <col min="7177" max="7177" width="6" style="465" customWidth="1"/>
    <col min="7178" max="7178" width="11.85546875" style="465" customWidth="1"/>
    <col min="7179" max="7179" width="10.42578125" style="465" customWidth="1"/>
    <col min="7180" max="7180" width="9" style="465" customWidth="1"/>
    <col min="7181" max="7181" width="9" style="465" bestFit="1" customWidth="1"/>
    <col min="7182" max="7185" width="9.28515625" style="465" customWidth="1"/>
    <col min="7186" max="7186" width="3.140625" style="465" customWidth="1"/>
    <col min="7187" max="7423" width="11.85546875" style="465"/>
    <col min="7424" max="7424" width="16.42578125" style="465" customWidth="1"/>
    <col min="7425" max="7425" width="8.42578125" style="465" customWidth="1"/>
    <col min="7426" max="7426" width="9" style="465" customWidth="1"/>
    <col min="7427" max="7427" width="6.5703125" style="465" customWidth="1"/>
    <col min="7428" max="7428" width="7.140625" style="465" customWidth="1"/>
    <col min="7429" max="7429" width="7.42578125" style="465" customWidth="1"/>
    <col min="7430" max="7430" width="6.140625" style="465" bestFit="1" customWidth="1"/>
    <col min="7431" max="7431" width="6.140625" style="465" customWidth="1"/>
    <col min="7432" max="7432" width="6.140625" style="465" bestFit="1" customWidth="1"/>
    <col min="7433" max="7433" width="6" style="465" customWidth="1"/>
    <col min="7434" max="7434" width="11.85546875" style="465" customWidth="1"/>
    <col min="7435" max="7435" width="10.42578125" style="465" customWidth="1"/>
    <col min="7436" max="7436" width="9" style="465" customWidth="1"/>
    <col min="7437" max="7437" width="9" style="465" bestFit="1" customWidth="1"/>
    <col min="7438" max="7441" width="9.28515625" style="465" customWidth="1"/>
    <col min="7442" max="7442" width="3.140625" style="465" customWidth="1"/>
    <col min="7443" max="7679" width="11.85546875" style="465"/>
    <col min="7680" max="7680" width="16.42578125" style="465" customWidth="1"/>
    <col min="7681" max="7681" width="8.42578125" style="465" customWidth="1"/>
    <col min="7682" max="7682" width="9" style="465" customWidth="1"/>
    <col min="7683" max="7683" width="6.5703125" style="465" customWidth="1"/>
    <col min="7684" max="7684" width="7.140625" style="465" customWidth="1"/>
    <col min="7685" max="7685" width="7.42578125" style="465" customWidth="1"/>
    <col min="7686" max="7686" width="6.140625" style="465" bestFit="1" customWidth="1"/>
    <col min="7687" max="7687" width="6.140625" style="465" customWidth="1"/>
    <col min="7688" max="7688" width="6.140625" style="465" bestFit="1" customWidth="1"/>
    <col min="7689" max="7689" width="6" style="465" customWidth="1"/>
    <col min="7690" max="7690" width="11.85546875" style="465" customWidth="1"/>
    <col min="7691" max="7691" width="10.42578125" style="465" customWidth="1"/>
    <col min="7692" max="7692" width="9" style="465" customWidth="1"/>
    <col min="7693" max="7693" width="9" style="465" bestFit="1" customWidth="1"/>
    <col min="7694" max="7697" width="9.28515625" style="465" customWidth="1"/>
    <col min="7698" max="7698" width="3.140625" style="465" customWidth="1"/>
    <col min="7699" max="7935" width="11.85546875" style="465"/>
    <col min="7936" max="7936" width="16.42578125" style="465" customWidth="1"/>
    <col min="7937" max="7937" width="8.42578125" style="465" customWidth="1"/>
    <col min="7938" max="7938" width="9" style="465" customWidth="1"/>
    <col min="7939" max="7939" width="6.5703125" style="465" customWidth="1"/>
    <col min="7940" max="7940" width="7.140625" style="465" customWidth="1"/>
    <col min="7941" max="7941" width="7.42578125" style="465" customWidth="1"/>
    <col min="7942" max="7942" width="6.140625" style="465" bestFit="1" customWidth="1"/>
    <col min="7943" max="7943" width="6.140625" style="465" customWidth="1"/>
    <col min="7944" max="7944" width="6.140625" style="465" bestFit="1" customWidth="1"/>
    <col min="7945" max="7945" width="6" style="465" customWidth="1"/>
    <col min="7946" max="7946" width="11.85546875" style="465" customWidth="1"/>
    <col min="7947" max="7947" width="10.42578125" style="465" customWidth="1"/>
    <col min="7948" max="7948" width="9" style="465" customWidth="1"/>
    <col min="7949" max="7949" width="9" style="465" bestFit="1" customWidth="1"/>
    <col min="7950" max="7953" width="9.28515625" style="465" customWidth="1"/>
    <col min="7954" max="7954" width="3.140625" style="465" customWidth="1"/>
    <col min="7955" max="8191" width="11.85546875" style="465"/>
    <col min="8192" max="8192" width="16.42578125" style="465" customWidth="1"/>
    <col min="8193" max="8193" width="8.42578125" style="465" customWidth="1"/>
    <col min="8194" max="8194" width="9" style="465" customWidth="1"/>
    <col min="8195" max="8195" width="6.5703125" style="465" customWidth="1"/>
    <col min="8196" max="8196" width="7.140625" style="465" customWidth="1"/>
    <col min="8197" max="8197" width="7.42578125" style="465" customWidth="1"/>
    <col min="8198" max="8198" width="6.140625" style="465" bestFit="1" customWidth="1"/>
    <col min="8199" max="8199" width="6.140625" style="465" customWidth="1"/>
    <col min="8200" max="8200" width="6.140625" style="465" bestFit="1" customWidth="1"/>
    <col min="8201" max="8201" width="6" style="465" customWidth="1"/>
    <col min="8202" max="8202" width="11.85546875" style="465" customWidth="1"/>
    <col min="8203" max="8203" width="10.42578125" style="465" customWidth="1"/>
    <col min="8204" max="8204" width="9" style="465" customWidth="1"/>
    <col min="8205" max="8205" width="9" style="465" bestFit="1" customWidth="1"/>
    <col min="8206" max="8209" width="9.28515625" style="465" customWidth="1"/>
    <col min="8210" max="8210" width="3.140625" style="465" customWidth="1"/>
    <col min="8211" max="8447" width="11.85546875" style="465"/>
    <col min="8448" max="8448" width="16.42578125" style="465" customWidth="1"/>
    <col min="8449" max="8449" width="8.42578125" style="465" customWidth="1"/>
    <col min="8450" max="8450" width="9" style="465" customWidth="1"/>
    <col min="8451" max="8451" width="6.5703125" style="465" customWidth="1"/>
    <col min="8452" max="8452" width="7.140625" style="465" customWidth="1"/>
    <col min="8453" max="8453" width="7.42578125" style="465" customWidth="1"/>
    <col min="8454" max="8454" width="6.140625" style="465" bestFit="1" customWidth="1"/>
    <col min="8455" max="8455" width="6.140625" style="465" customWidth="1"/>
    <col min="8456" max="8456" width="6.140625" style="465" bestFit="1" customWidth="1"/>
    <col min="8457" max="8457" width="6" style="465" customWidth="1"/>
    <col min="8458" max="8458" width="11.85546875" style="465" customWidth="1"/>
    <col min="8459" max="8459" width="10.42578125" style="465" customWidth="1"/>
    <col min="8460" max="8460" width="9" style="465" customWidth="1"/>
    <col min="8461" max="8461" width="9" style="465" bestFit="1" customWidth="1"/>
    <col min="8462" max="8465" width="9.28515625" style="465" customWidth="1"/>
    <col min="8466" max="8466" width="3.140625" style="465" customWidth="1"/>
    <col min="8467" max="8703" width="11.85546875" style="465"/>
    <col min="8704" max="8704" width="16.42578125" style="465" customWidth="1"/>
    <col min="8705" max="8705" width="8.42578125" style="465" customWidth="1"/>
    <col min="8706" max="8706" width="9" style="465" customWidth="1"/>
    <col min="8707" max="8707" width="6.5703125" style="465" customWidth="1"/>
    <col min="8708" max="8708" width="7.140625" style="465" customWidth="1"/>
    <col min="8709" max="8709" width="7.42578125" style="465" customWidth="1"/>
    <col min="8710" max="8710" width="6.140625" style="465" bestFit="1" customWidth="1"/>
    <col min="8711" max="8711" width="6.140625" style="465" customWidth="1"/>
    <col min="8712" max="8712" width="6.140625" style="465" bestFit="1" customWidth="1"/>
    <col min="8713" max="8713" width="6" style="465" customWidth="1"/>
    <col min="8714" max="8714" width="11.85546875" style="465" customWidth="1"/>
    <col min="8715" max="8715" width="10.42578125" style="465" customWidth="1"/>
    <col min="8716" max="8716" width="9" style="465" customWidth="1"/>
    <col min="8717" max="8717" width="9" style="465" bestFit="1" customWidth="1"/>
    <col min="8718" max="8721" width="9.28515625" style="465" customWidth="1"/>
    <col min="8722" max="8722" width="3.140625" style="465" customWidth="1"/>
    <col min="8723" max="8959" width="11.85546875" style="465"/>
    <col min="8960" max="8960" width="16.42578125" style="465" customWidth="1"/>
    <col min="8961" max="8961" width="8.42578125" style="465" customWidth="1"/>
    <col min="8962" max="8962" width="9" style="465" customWidth="1"/>
    <col min="8963" max="8963" width="6.5703125" style="465" customWidth="1"/>
    <col min="8964" max="8964" width="7.140625" style="465" customWidth="1"/>
    <col min="8965" max="8965" width="7.42578125" style="465" customWidth="1"/>
    <col min="8966" max="8966" width="6.140625" style="465" bestFit="1" customWidth="1"/>
    <col min="8967" max="8967" width="6.140625" style="465" customWidth="1"/>
    <col min="8968" max="8968" width="6.140625" style="465" bestFit="1" customWidth="1"/>
    <col min="8969" max="8969" width="6" style="465" customWidth="1"/>
    <col min="8970" max="8970" width="11.85546875" style="465" customWidth="1"/>
    <col min="8971" max="8971" width="10.42578125" style="465" customWidth="1"/>
    <col min="8972" max="8972" width="9" style="465" customWidth="1"/>
    <col min="8973" max="8973" width="9" style="465" bestFit="1" customWidth="1"/>
    <col min="8974" max="8977" width="9.28515625" style="465" customWidth="1"/>
    <col min="8978" max="8978" width="3.140625" style="465" customWidth="1"/>
    <col min="8979" max="9215" width="11.85546875" style="465"/>
    <col min="9216" max="9216" width="16.42578125" style="465" customWidth="1"/>
    <col min="9217" max="9217" width="8.42578125" style="465" customWidth="1"/>
    <col min="9218" max="9218" width="9" style="465" customWidth="1"/>
    <col min="9219" max="9219" width="6.5703125" style="465" customWidth="1"/>
    <col min="9220" max="9220" width="7.140625" style="465" customWidth="1"/>
    <col min="9221" max="9221" width="7.42578125" style="465" customWidth="1"/>
    <col min="9222" max="9222" width="6.140625" style="465" bestFit="1" customWidth="1"/>
    <col min="9223" max="9223" width="6.140625" style="465" customWidth="1"/>
    <col min="9224" max="9224" width="6.140625" style="465" bestFit="1" customWidth="1"/>
    <col min="9225" max="9225" width="6" style="465" customWidth="1"/>
    <col min="9226" max="9226" width="11.85546875" style="465" customWidth="1"/>
    <col min="9227" max="9227" width="10.42578125" style="465" customWidth="1"/>
    <col min="9228" max="9228" width="9" style="465" customWidth="1"/>
    <col min="9229" max="9229" width="9" style="465" bestFit="1" customWidth="1"/>
    <col min="9230" max="9233" width="9.28515625" style="465" customWidth="1"/>
    <col min="9234" max="9234" width="3.140625" style="465" customWidth="1"/>
    <col min="9235" max="9471" width="11.85546875" style="465"/>
    <col min="9472" max="9472" width="16.42578125" style="465" customWidth="1"/>
    <col min="9473" max="9473" width="8.42578125" style="465" customWidth="1"/>
    <col min="9474" max="9474" width="9" style="465" customWidth="1"/>
    <col min="9475" max="9475" width="6.5703125" style="465" customWidth="1"/>
    <col min="9476" max="9476" width="7.140625" style="465" customWidth="1"/>
    <col min="9477" max="9477" width="7.42578125" style="465" customWidth="1"/>
    <col min="9478" max="9478" width="6.140625" style="465" bestFit="1" customWidth="1"/>
    <col min="9479" max="9479" width="6.140625" style="465" customWidth="1"/>
    <col min="9480" max="9480" width="6.140625" style="465" bestFit="1" customWidth="1"/>
    <col min="9481" max="9481" width="6" style="465" customWidth="1"/>
    <col min="9482" max="9482" width="11.85546875" style="465" customWidth="1"/>
    <col min="9483" max="9483" width="10.42578125" style="465" customWidth="1"/>
    <col min="9484" max="9484" width="9" style="465" customWidth="1"/>
    <col min="9485" max="9485" width="9" style="465" bestFit="1" customWidth="1"/>
    <col min="9486" max="9489" width="9.28515625" style="465" customWidth="1"/>
    <col min="9490" max="9490" width="3.140625" style="465" customWidth="1"/>
    <col min="9491" max="9727" width="11.85546875" style="465"/>
    <col min="9728" max="9728" width="16.42578125" style="465" customWidth="1"/>
    <col min="9729" max="9729" width="8.42578125" style="465" customWidth="1"/>
    <col min="9730" max="9730" width="9" style="465" customWidth="1"/>
    <col min="9731" max="9731" width="6.5703125" style="465" customWidth="1"/>
    <col min="9732" max="9732" width="7.140625" style="465" customWidth="1"/>
    <col min="9733" max="9733" width="7.42578125" style="465" customWidth="1"/>
    <col min="9734" max="9734" width="6.140625" style="465" bestFit="1" customWidth="1"/>
    <col min="9735" max="9735" width="6.140625" style="465" customWidth="1"/>
    <col min="9736" max="9736" width="6.140625" style="465" bestFit="1" customWidth="1"/>
    <col min="9737" max="9737" width="6" style="465" customWidth="1"/>
    <col min="9738" max="9738" width="11.85546875" style="465" customWidth="1"/>
    <col min="9739" max="9739" width="10.42578125" style="465" customWidth="1"/>
    <col min="9740" max="9740" width="9" style="465" customWidth="1"/>
    <col min="9741" max="9741" width="9" style="465" bestFit="1" customWidth="1"/>
    <col min="9742" max="9745" width="9.28515625" style="465" customWidth="1"/>
    <col min="9746" max="9746" width="3.140625" style="465" customWidth="1"/>
    <col min="9747" max="9983" width="11.85546875" style="465"/>
    <col min="9984" max="9984" width="16.42578125" style="465" customWidth="1"/>
    <col min="9985" max="9985" width="8.42578125" style="465" customWidth="1"/>
    <col min="9986" max="9986" width="9" style="465" customWidth="1"/>
    <col min="9987" max="9987" width="6.5703125" style="465" customWidth="1"/>
    <col min="9988" max="9988" width="7.140625" style="465" customWidth="1"/>
    <col min="9989" max="9989" width="7.42578125" style="465" customWidth="1"/>
    <col min="9990" max="9990" width="6.140625" style="465" bestFit="1" customWidth="1"/>
    <col min="9991" max="9991" width="6.140625" style="465" customWidth="1"/>
    <col min="9992" max="9992" width="6.140625" style="465" bestFit="1" customWidth="1"/>
    <col min="9993" max="9993" width="6" style="465" customWidth="1"/>
    <col min="9994" max="9994" width="11.85546875" style="465" customWidth="1"/>
    <col min="9995" max="9995" width="10.42578125" style="465" customWidth="1"/>
    <col min="9996" max="9996" width="9" style="465" customWidth="1"/>
    <col min="9997" max="9997" width="9" style="465" bestFit="1" customWidth="1"/>
    <col min="9998" max="10001" width="9.28515625" style="465" customWidth="1"/>
    <col min="10002" max="10002" width="3.140625" style="465" customWidth="1"/>
    <col min="10003" max="10239" width="11.85546875" style="465"/>
    <col min="10240" max="10240" width="16.42578125" style="465" customWidth="1"/>
    <col min="10241" max="10241" width="8.42578125" style="465" customWidth="1"/>
    <col min="10242" max="10242" width="9" style="465" customWidth="1"/>
    <col min="10243" max="10243" width="6.5703125" style="465" customWidth="1"/>
    <col min="10244" max="10244" width="7.140625" style="465" customWidth="1"/>
    <col min="10245" max="10245" width="7.42578125" style="465" customWidth="1"/>
    <col min="10246" max="10246" width="6.140625" style="465" bestFit="1" customWidth="1"/>
    <col min="10247" max="10247" width="6.140625" style="465" customWidth="1"/>
    <col min="10248" max="10248" width="6.140625" style="465" bestFit="1" customWidth="1"/>
    <col min="10249" max="10249" width="6" style="465" customWidth="1"/>
    <col min="10250" max="10250" width="11.85546875" style="465" customWidth="1"/>
    <col min="10251" max="10251" width="10.42578125" style="465" customWidth="1"/>
    <col min="10252" max="10252" width="9" style="465" customWidth="1"/>
    <col min="10253" max="10253" width="9" style="465" bestFit="1" customWidth="1"/>
    <col min="10254" max="10257" width="9.28515625" style="465" customWidth="1"/>
    <col min="10258" max="10258" width="3.140625" style="465" customWidth="1"/>
    <col min="10259" max="10495" width="11.85546875" style="465"/>
    <col min="10496" max="10496" width="16.42578125" style="465" customWidth="1"/>
    <col min="10497" max="10497" width="8.42578125" style="465" customWidth="1"/>
    <col min="10498" max="10498" width="9" style="465" customWidth="1"/>
    <col min="10499" max="10499" width="6.5703125" style="465" customWidth="1"/>
    <col min="10500" max="10500" width="7.140625" style="465" customWidth="1"/>
    <col min="10501" max="10501" width="7.42578125" style="465" customWidth="1"/>
    <col min="10502" max="10502" width="6.140625" style="465" bestFit="1" customWidth="1"/>
    <col min="10503" max="10503" width="6.140625" style="465" customWidth="1"/>
    <col min="10504" max="10504" width="6.140625" style="465" bestFit="1" customWidth="1"/>
    <col min="10505" max="10505" width="6" style="465" customWidth="1"/>
    <col min="10506" max="10506" width="11.85546875" style="465" customWidth="1"/>
    <col min="10507" max="10507" width="10.42578125" style="465" customWidth="1"/>
    <col min="10508" max="10508" width="9" style="465" customWidth="1"/>
    <col min="10509" max="10509" width="9" style="465" bestFit="1" customWidth="1"/>
    <col min="10510" max="10513" width="9.28515625" style="465" customWidth="1"/>
    <col min="10514" max="10514" width="3.140625" style="465" customWidth="1"/>
    <col min="10515" max="10751" width="11.85546875" style="465"/>
    <col min="10752" max="10752" width="16.42578125" style="465" customWidth="1"/>
    <col min="10753" max="10753" width="8.42578125" style="465" customWidth="1"/>
    <col min="10754" max="10754" width="9" style="465" customWidth="1"/>
    <col min="10755" max="10755" width="6.5703125" style="465" customWidth="1"/>
    <col min="10756" max="10756" width="7.140625" style="465" customWidth="1"/>
    <col min="10757" max="10757" width="7.42578125" style="465" customWidth="1"/>
    <col min="10758" max="10758" width="6.140625" style="465" bestFit="1" customWidth="1"/>
    <col min="10759" max="10759" width="6.140625" style="465" customWidth="1"/>
    <col min="10760" max="10760" width="6.140625" style="465" bestFit="1" customWidth="1"/>
    <col min="10761" max="10761" width="6" style="465" customWidth="1"/>
    <col min="10762" max="10762" width="11.85546875" style="465" customWidth="1"/>
    <col min="10763" max="10763" width="10.42578125" style="465" customWidth="1"/>
    <col min="10764" max="10764" width="9" style="465" customWidth="1"/>
    <col min="10765" max="10765" width="9" style="465" bestFit="1" customWidth="1"/>
    <col min="10766" max="10769" width="9.28515625" style="465" customWidth="1"/>
    <col min="10770" max="10770" width="3.140625" style="465" customWidth="1"/>
    <col min="10771" max="11007" width="11.85546875" style="465"/>
    <col min="11008" max="11008" width="16.42578125" style="465" customWidth="1"/>
    <col min="11009" max="11009" width="8.42578125" style="465" customWidth="1"/>
    <col min="11010" max="11010" width="9" style="465" customWidth="1"/>
    <col min="11011" max="11011" width="6.5703125" style="465" customWidth="1"/>
    <col min="11012" max="11012" width="7.140625" style="465" customWidth="1"/>
    <col min="11013" max="11013" width="7.42578125" style="465" customWidth="1"/>
    <col min="11014" max="11014" width="6.140625" style="465" bestFit="1" customWidth="1"/>
    <col min="11015" max="11015" width="6.140625" style="465" customWidth="1"/>
    <col min="11016" max="11016" width="6.140625" style="465" bestFit="1" customWidth="1"/>
    <col min="11017" max="11017" width="6" style="465" customWidth="1"/>
    <col min="11018" max="11018" width="11.85546875" style="465" customWidth="1"/>
    <col min="11019" max="11019" width="10.42578125" style="465" customWidth="1"/>
    <col min="11020" max="11020" width="9" style="465" customWidth="1"/>
    <col min="11021" max="11021" width="9" style="465" bestFit="1" customWidth="1"/>
    <col min="11022" max="11025" width="9.28515625" style="465" customWidth="1"/>
    <col min="11026" max="11026" width="3.140625" style="465" customWidth="1"/>
    <col min="11027" max="11263" width="11.85546875" style="465"/>
    <col min="11264" max="11264" width="16.42578125" style="465" customWidth="1"/>
    <col min="11265" max="11265" width="8.42578125" style="465" customWidth="1"/>
    <col min="11266" max="11266" width="9" style="465" customWidth="1"/>
    <col min="11267" max="11267" width="6.5703125" style="465" customWidth="1"/>
    <col min="11268" max="11268" width="7.140625" style="465" customWidth="1"/>
    <col min="11269" max="11269" width="7.42578125" style="465" customWidth="1"/>
    <col min="11270" max="11270" width="6.140625" style="465" bestFit="1" customWidth="1"/>
    <col min="11271" max="11271" width="6.140625" style="465" customWidth="1"/>
    <col min="11272" max="11272" width="6.140625" style="465" bestFit="1" customWidth="1"/>
    <col min="11273" max="11273" width="6" style="465" customWidth="1"/>
    <col min="11274" max="11274" width="11.85546875" style="465" customWidth="1"/>
    <col min="11275" max="11275" width="10.42578125" style="465" customWidth="1"/>
    <col min="11276" max="11276" width="9" style="465" customWidth="1"/>
    <col min="11277" max="11277" width="9" style="465" bestFit="1" customWidth="1"/>
    <col min="11278" max="11281" width="9.28515625" style="465" customWidth="1"/>
    <col min="11282" max="11282" width="3.140625" style="465" customWidth="1"/>
    <col min="11283" max="11519" width="11.85546875" style="465"/>
    <col min="11520" max="11520" width="16.42578125" style="465" customWidth="1"/>
    <col min="11521" max="11521" width="8.42578125" style="465" customWidth="1"/>
    <col min="11522" max="11522" width="9" style="465" customWidth="1"/>
    <col min="11523" max="11523" width="6.5703125" style="465" customWidth="1"/>
    <col min="11524" max="11524" width="7.140625" style="465" customWidth="1"/>
    <col min="11525" max="11525" width="7.42578125" style="465" customWidth="1"/>
    <col min="11526" max="11526" width="6.140625" style="465" bestFit="1" customWidth="1"/>
    <col min="11527" max="11527" width="6.140625" style="465" customWidth="1"/>
    <col min="11528" max="11528" width="6.140625" style="465" bestFit="1" customWidth="1"/>
    <col min="11529" max="11529" width="6" style="465" customWidth="1"/>
    <col min="11530" max="11530" width="11.85546875" style="465" customWidth="1"/>
    <col min="11531" max="11531" width="10.42578125" style="465" customWidth="1"/>
    <col min="11532" max="11532" width="9" style="465" customWidth="1"/>
    <col min="11533" max="11533" width="9" style="465" bestFit="1" customWidth="1"/>
    <col min="11534" max="11537" width="9.28515625" style="465" customWidth="1"/>
    <col min="11538" max="11538" width="3.140625" style="465" customWidth="1"/>
    <col min="11539" max="11775" width="11.85546875" style="465"/>
    <col min="11776" max="11776" width="16.42578125" style="465" customWidth="1"/>
    <col min="11777" max="11777" width="8.42578125" style="465" customWidth="1"/>
    <col min="11778" max="11778" width="9" style="465" customWidth="1"/>
    <col min="11779" max="11779" width="6.5703125" style="465" customWidth="1"/>
    <col min="11780" max="11780" width="7.140625" style="465" customWidth="1"/>
    <col min="11781" max="11781" width="7.42578125" style="465" customWidth="1"/>
    <col min="11782" max="11782" width="6.140625" style="465" bestFit="1" customWidth="1"/>
    <col min="11783" max="11783" width="6.140625" style="465" customWidth="1"/>
    <col min="11784" max="11784" width="6.140625" style="465" bestFit="1" customWidth="1"/>
    <col min="11785" max="11785" width="6" style="465" customWidth="1"/>
    <col min="11786" max="11786" width="11.85546875" style="465" customWidth="1"/>
    <col min="11787" max="11787" width="10.42578125" style="465" customWidth="1"/>
    <col min="11788" max="11788" width="9" style="465" customWidth="1"/>
    <col min="11789" max="11789" width="9" style="465" bestFit="1" customWidth="1"/>
    <col min="11790" max="11793" width="9.28515625" style="465" customWidth="1"/>
    <col min="11794" max="11794" width="3.140625" style="465" customWidth="1"/>
    <col min="11795" max="12031" width="11.85546875" style="465"/>
    <col min="12032" max="12032" width="16.42578125" style="465" customWidth="1"/>
    <col min="12033" max="12033" width="8.42578125" style="465" customWidth="1"/>
    <col min="12034" max="12034" width="9" style="465" customWidth="1"/>
    <col min="12035" max="12035" width="6.5703125" style="465" customWidth="1"/>
    <col min="12036" max="12036" width="7.140625" style="465" customWidth="1"/>
    <col min="12037" max="12037" width="7.42578125" style="465" customWidth="1"/>
    <col min="12038" max="12038" width="6.140625" style="465" bestFit="1" customWidth="1"/>
    <col min="12039" max="12039" width="6.140625" style="465" customWidth="1"/>
    <col min="12040" max="12040" width="6.140625" style="465" bestFit="1" customWidth="1"/>
    <col min="12041" max="12041" width="6" style="465" customWidth="1"/>
    <col min="12042" max="12042" width="11.85546875" style="465" customWidth="1"/>
    <col min="12043" max="12043" width="10.42578125" style="465" customWidth="1"/>
    <col min="12044" max="12044" width="9" style="465" customWidth="1"/>
    <col min="12045" max="12045" width="9" style="465" bestFit="1" customWidth="1"/>
    <col min="12046" max="12049" width="9.28515625" style="465" customWidth="1"/>
    <col min="12050" max="12050" width="3.140625" style="465" customWidth="1"/>
    <col min="12051" max="12287" width="11.85546875" style="465"/>
    <col min="12288" max="12288" width="16.42578125" style="465" customWidth="1"/>
    <col min="12289" max="12289" width="8.42578125" style="465" customWidth="1"/>
    <col min="12290" max="12290" width="9" style="465" customWidth="1"/>
    <col min="12291" max="12291" width="6.5703125" style="465" customWidth="1"/>
    <col min="12292" max="12292" width="7.140625" style="465" customWidth="1"/>
    <col min="12293" max="12293" width="7.42578125" style="465" customWidth="1"/>
    <col min="12294" max="12294" width="6.140625" style="465" bestFit="1" customWidth="1"/>
    <col min="12295" max="12295" width="6.140625" style="465" customWidth="1"/>
    <col min="12296" max="12296" width="6.140625" style="465" bestFit="1" customWidth="1"/>
    <col min="12297" max="12297" width="6" style="465" customWidth="1"/>
    <col min="12298" max="12298" width="11.85546875" style="465" customWidth="1"/>
    <col min="12299" max="12299" width="10.42578125" style="465" customWidth="1"/>
    <col min="12300" max="12300" width="9" style="465" customWidth="1"/>
    <col min="12301" max="12301" width="9" style="465" bestFit="1" customWidth="1"/>
    <col min="12302" max="12305" width="9.28515625" style="465" customWidth="1"/>
    <col min="12306" max="12306" width="3.140625" style="465" customWidth="1"/>
    <col min="12307" max="12543" width="11.85546875" style="465"/>
    <col min="12544" max="12544" width="16.42578125" style="465" customWidth="1"/>
    <col min="12545" max="12545" width="8.42578125" style="465" customWidth="1"/>
    <col min="12546" max="12546" width="9" style="465" customWidth="1"/>
    <col min="12547" max="12547" width="6.5703125" style="465" customWidth="1"/>
    <col min="12548" max="12548" width="7.140625" style="465" customWidth="1"/>
    <col min="12549" max="12549" width="7.42578125" style="465" customWidth="1"/>
    <col min="12550" max="12550" width="6.140625" style="465" bestFit="1" customWidth="1"/>
    <col min="12551" max="12551" width="6.140625" style="465" customWidth="1"/>
    <col min="12552" max="12552" width="6.140625" style="465" bestFit="1" customWidth="1"/>
    <col min="12553" max="12553" width="6" style="465" customWidth="1"/>
    <col min="12554" max="12554" width="11.85546875" style="465" customWidth="1"/>
    <col min="12555" max="12555" width="10.42578125" style="465" customWidth="1"/>
    <col min="12556" max="12556" width="9" style="465" customWidth="1"/>
    <col min="12557" max="12557" width="9" style="465" bestFit="1" customWidth="1"/>
    <col min="12558" max="12561" width="9.28515625" style="465" customWidth="1"/>
    <col min="12562" max="12562" width="3.140625" style="465" customWidth="1"/>
    <col min="12563" max="12799" width="11.85546875" style="465"/>
    <col min="12800" max="12800" width="16.42578125" style="465" customWidth="1"/>
    <col min="12801" max="12801" width="8.42578125" style="465" customWidth="1"/>
    <col min="12802" max="12802" width="9" style="465" customWidth="1"/>
    <col min="12803" max="12803" width="6.5703125" style="465" customWidth="1"/>
    <col min="12804" max="12804" width="7.140625" style="465" customWidth="1"/>
    <col min="12805" max="12805" width="7.42578125" style="465" customWidth="1"/>
    <col min="12806" max="12806" width="6.140625" style="465" bestFit="1" customWidth="1"/>
    <col min="12807" max="12807" width="6.140625" style="465" customWidth="1"/>
    <col min="12808" max="12808" width="6.140625" style="465" bestFit="1" customWidth="1"/>
    <col min="12809" max="12809" width="6" style="465" customWidth="1"/>
    <col min="12810" max="12810" width="11.85546875" style="465" customWidth="1"/>
    <col min="12811" max="12811" width="10.42578125" style="465" customWidth="1"/>
    <col min="12812" max="12812" width="9" style="465" customWidth="1"/>
    <col min="12813" max="12813" width="9" style="465" bestFit="1" customWidth="1"/>
    <col min="12814" max="12817" width="9.28515625" style="465" customWidth="1"/>
    <col min="12818" max="12818" width="3.140625" style="465" customWidth="1"/>
    <col min="12819" max="13055" width="11.85546875" style="465"/>
    <col min="13056" max="13056" width="16.42578125" style="465" customWidth="1"/>
    <col min="13057" max="13057" width="8.42578125" style="465" customWidth="1"/>
    <col min="13058" max="13058" width="9" style="465" customWidth="1"/>
    <col min="13059" max="13059" width="6.5703125" style="465" customWidth="1"/>
    <col min="13060" max="13060" width="7.140625" style="465" customWidth="1"/>
    <col min="13061" max="13061" width="7.42578125" style="465" customWidth="1"/>
    <col min="13062" max="13062" width="6.140625" style="465" bestFit="1" customWidth="1"/>
    <col min="13063" max="13063" width="6.140625" style="465" customWidth="1"/>
    <col min="13064" max="13064" width="6.140625" style="465" bestFit="1" customWidth="1"/>
    <col min="13065" max="13065" width="6" style="465" customWidth="1"/>
    <col min="13066" max="13066" width="11.85546875" style="465" customWidth="1"/>
    <col min="13067" max="13067" width="10.42578125" style="465" customWidth="1"/>
    <col min="13068" max="13068" width="9" style="465" customWidth="1"/>
    <col min="13069" max="13069" width="9" style="465" bestFit="1" customWidth="1"/>
    <col min="13070" max="13073" width="9.28515625" style="465" customWidth="1"/>
    <col min="13074" max="13074" width="3.140625" style="465" customWidth="1"/>
    <col min="13075" max="13311" width="11.85546875" style="465"/>
    <col min="13312" max="13312" width="16.42578125" style="465" customWidth="1"/>
    <col min="13313" max="13313" width="8.42578125" style="465" customWidth="1"/>
    <col min="13314" max="13314" width="9" style="465" customWidth="1"/>
    <col min="13315" max="13315" width="6.5703125" style="465" customWidth="1"/>
    <col min="13316" max="13316" width="7.140625" style="465" customWidth="1"/>
    <col min="13317" max="13317" width="7.42578125" style="465" customWidth="1"/>
    <col min="13318" max="13318" width="6.140625" style="465" bestFit="1" customWidth="1"/>
    <col min="13319" max="13319" width="6.140625" style="465" customWidth="1"/>
    <col min="13320" max="13320" width="6.140625" style="465" bestFit="1" customWidth="1"/>
    <col min="13321" max="13321" width="6" style="465" customWidth="1"/>
    <col min="13322" max="13322" width="11.85546875" style="465" customWidth="1"/>
    <col min="13323" max="13323" width="10.42578125" style="465" customWidth="1"/>
    <col min="13324" max="13324" width="9" style="465" customWidth="1"/>
    <col min="13325" max="13325" width="9" style="465" bestFit="1" customWidth="1"/>
    <col min="13326" max="13329" width="9.28515625" style="465" customWidth="1"/>
    <col min="13330" max="13330" width="3.140625" style="465" customWidth="1"/>
    <col min="13331" max="13567" width="11.85546875" style="465"/>
    <col min="13568" max="13568" width="16.42578125" style="465" customWidth="1"/>
    <col min="13569" max="13569" width="8.42578125" style="465" customWidth="1"/>
    <col min="13570" max="13570" width="9" style="465" customWidth="1"/>
    <col min="13571" max="13571" width="6.5703125" style="465" customWidth="1"/>
    <col min="13572" max="13572" width="7.140625" style="465" customWidth="1"/>
    <col min="13573" max="13573" width="7.42578125" style="465" customWidth="1"/>
    <col min="13574" max="13574" width="6.140625" style="465" bestFit="1" customWidth="1"/>
    <col min="13575" max="13575" width="6.140625" style="465" customWidth="1"/>
    <col min="13576" max="13576" width="6.140625" style="465" bestFit="1" customWidth="1"/>
    <col min="13577" max="13577" width="6" style="465" customWidth="1"/>
    <col min="13578" max="13578" width="11.85546875" style="465" customWidth="1"/>
    <col min="13579" max="13579" width="10.42578125" style="465" customWidth="1"/>
    <col min="13580" max="13580" width="9" style="465" customWidth="1"/>
    <col min="13581" max="13581" width="9" style="465" bestFit="1" customWidth="1"/>
    <col min="13582" max="13585" width="9.28515625" style="465" customWidth="1"/>
    <col min="13586" max="13586" width="3.140625" style="465" customWidth="1"/>
    <col min="13587" max="13823" width="11.85546875" style="465"/>
    <col min="13824" max="13824" width="16.42578125" style="465" customWidth="1"/>
    <col min="13825" max="13825" width="8.42578125" style="465" customWidth="1"/>
    <col min="13826" max="13826" width="9" style="465" customWidth="1"/>
    <col min="13827" max="13827" width="6.5703125" style="465" customWidth="1"/>
    <col min="13828" max="13828" width="7.140625" style="465" customWidth="1"/>
    <col min="13829" max="13829" width="7.42578125" style="465" customWidth="1"/>
    <col min="13830" max="13830" width="6.140625" style="465" bestFit="1" customWidth="1"/>
    <col min="13831" max="13831" width="6.140625" style="465" customWidth="1"/>
    <col min="13832" max="13832" width="6.140625" style="465" bestFit="1" customWidth="1"/>
    <col min="13833" max="13833" width="6" style="465" customWidth="1"/>
    <col min="13834" max="13834" width="11.85546875" style="465" customWidth="1"/>
    <col min="13835" max="13835" width="10.42578125" style="465" customWidth="1"/>
    <col min="13836" max="13836" width="9" style="465" customWidth="1"/>
    <col min="13837" max="13837" width="9" style="465" bestFit="1" customWidth="1"/>
    <col min="13838" max="13841" width="9.28515625" style="465" customWidth="1"/>
    <col min="13842" max="13842" width="3.140625" style="465" customWidth="1"/>
    <col min="13843" max="14079" width="11.85546875" style="465"/>
    <col min="14080" max="14080" width="16.42578125" style="465" customWidth="1"/>
    <col min="14081" max="14081" width="8.42578125" style="465" customWidth="1"/>
    <col min="14082" max="14082" width="9" style="465" customWidth="1"/>
    <col min="14083" max="14083" width="6.5703125" style="465" customWidth="1"/>
    <col min="14084" max="14084" width="7.140625" style="465" customWidth="1"/>
    <col min="14085" max="14085" width="7.42578125" style="465" customWidth="1"/>
    <col min="14086" max="14086" width="6.140625" style="465" bestFit="1" customWidth="1"/>
    <col min="14087" max="14087" width="6.140625" style="465" customWidth="1"/>
    <col min="14088" max="14088" width="6.140625" style="465" bestFit="1" customWidth="1"/>
    <col min="14089" max="14089" width="6" style="465" customWidth="1"/>
    <col min="14090" max="14090" width="11.85546875" style="465" customWidth="1"/>
    <col min="14091" max="14091" width="10.42578125" style="465" customWidth="1"/>
    <col min="14092" max="14092" width="9" style="465" customWidth="1"/>
    <col min="14093" max="14093" width="9" style="465" bestFit="1" customWidth="1"/>
    <col min="14094" max="14097" width="9.28515625" style="465" customWidth="1"/>
    <col min="14098" max="14098" width="3.140625" style="465" customWidth="1"/>
    <col min="14099" max="14335" width="11.85546875" style="465"/>
    <col min="14336" max="14336" width="16.42578125" style="465" customWidth="1"/>
    <col min="14337" max="14337" width="8.42578125" style="465" customWidth="1"/>
    <col min="14338" max="14338" width="9" style="465" customWidth="1"/>
    <col min="14339" max="14339" width="6.5703125" style="465" customWidth="1"/>
    <col min="14340" max="14340" width="7.140625" style="465" customWidth="1"/>
    <col min="14341" max="14341" width="7.42578125" style="465" customWidth="1"/>
    <col min="14342" max="14342" width="6.140625" style="465" bestFit="1" customWidth="1"/>
    <col min="14343" max="14343" width="6.140625" style="465" customWidth="1"/>
    <col min="14344" max="14344" width="6.140625" style="465" bestFit="1" customWidth="1"/>
    <col min="14345" max="14345" width="6" style="465" customWidth="1"/>
    <col min="14346" max="14346" width="11.85546875" style="465" customWidth="1"/>
    <col min="14347" max="14347" width="10.42578125" style="465" customWidth="1"/>
    <col min="14348" max="14348" width="9" style="465" customWidth="1"/>
    <col min="14349" max="14349" width="9" style="465" bestFit="1" customWidth="1"/>
    <col min="14350" max="14353" width="9.28515625" style="465" customWidth="1"/>
    <col min="14354" max="14354" width="3.140625" style="465" customWidth="1"/>
    <col min="14355" max="14591" width="11.85546875" style="465"/>
    <col min="14592" max="14592" width="16.42578125" style="465" customWidth="1"/>
    <col min="14593" max="14593" width="8.42578125" style="465" customWidth="1"/>
    <col min="14594" max="14594" width="9" style="465" customWidth="1"/>
    <col min="14595" max="14595" width="6.5703125" style="465" customWidth="1"/>
    <col min="14596" max="14596" width="7.140625" style="465" customWidth="1"/>
    <col min="14597" max="14597" width="7.42578125" style="465" customWidth="1"/>
    <col min="14598" max="14598" width="6.140625" style="465" bestFit="1" customWidth="1"/>
    <col min="14599" max="14599" width="6.140625" style="465" customWidth="1"/>
    <col min="14600" max="14600" width="6.140625" style="465" bestFit="1" customWidth="1"/>
    <col min="14601" max="14601" width="6" style="465" customWidth="1"/>
    <col min="14602" max="14602" width="11.85546875" style="465" customWidth="1"/>
    <col min="14603" max="14603" width="10.42578125" style="465" customWidth="1"/>
    <col min="14604" max="14604" width="9" style="465" customWidth="1"/>
    <col min="14605" max="14605" width="9" style="465" bestFit="1" customWidth="1"/>
    <col min="14606" max="14609" width="9.28515625" style="465" customWidth="1"/>
    <col min="14610" max="14610" width="3.140625" style="465" customWidth="1"/>
    <col min="14611" max="14847" width="11.85546875" style="465"/>
    <col min="14848" max="14848" width="16.42578125" style="465" customWidth="1"/>
    <col min="14849" max="14849" width="8.42578125" style="465" customWidth="1"/>
    <col min="14850" max="14850" width="9" style="465" customWidth="1"/>
    <col min="14851" max="14851" width="6.5703125" style="465" customWidth="1"/>
    <col min="14852" max="14852" width="7.140625" style="465" customWidth="1"/>
    <col min="14853" max="14853" width="7.42578125" style="465" customWidth="1"/>
    <col min="14854" max="14854" width="6.140625" style="465" bestFit="1" customWidth="1"/>
    <col min="14855" max="14855" width="6.140625" style="465" customWidth="1"/>
    <col min="14856" max="14856" width="6.140625" style="465" bestFit="1" customWidth="1"/>
    <col min="14857" max="14857" width="6" style="465" customWidth="1"/>
    <col min="14858" max="14858" width="11.85546875" style="465" customWidth="1"/>
    <col min="14859" max="14859" width="10.42578125" style="465" customWidth="1"/>
    <col min="14860" max="14860" width="9" style="465" customWidth="1"/>
    <col min="14861" max="14861" width="9" style="465" bestFit="1" customWidth="1"/>
    <col min="14862" max="14865" width="9.28515625" style="465" customWidth="1"/>
    <col min="14866" max="14866" width="3.140625" style="465" customWidth="1"/>
    <col min="14867" max="15103" width="11.85546875" style="465"/>
    <col min="15104" max="15104" width="16.42578125" style="465" customWidth="1"/>
    <col min="15105" max="15105" width="8.42578125" style="465" customWidth="1"/>
    <col min="15106" max="15106" width="9" style="465" customWidth="1"/>
    <col min="15107" max="15107" width="6.5703125" style="465" customWidth="1"/>
    <col min="15108" max="15108" width="7.140625" style="465" customWidth="1"/>
    <col min="15109" max="15109" width="7.42578125" style="465" customWidth="1"/>
    <col min="15110" max="15110" width="6.140625" style="465" bestFit="1" customWidth="1"/>
    <col min="15111" max="15111" width="6.140625" style="465" customWidth="1"/>
    <col min="15112" max="15112" width="6.140625" style="465" bestFit="1" customWidth="1"/>
    <col min="15113" max="15113" width="6" style="465" customWidth="1"/>
    <col min="15114" max="15114" width="11.85546875" style="465" customWidth="1"/>
    <col min="15115" max="15115" width="10.42578125" style="465" customWidth="1"/>
    <col min="15116" max="15116" width="9" style="465" customWidth="1"/>
    <col min="15117" max="15117" width="9" style="465" bestFit="1" customWidth="1"/>
    <col min="15118" max="15121" width="9.28515625" style="465" customWidth="1"/>
    <col min="15122" max="15122" width="3.140625" style="465" customWidth="1"/>
    <col min="15123" max="15359" width="11.85546875" style="465"/>
    <col min="15360" max="15360" width="16.42578125" style="465" customWidth="1"/>
    <col min="15361" max="15361" width="8.42578125" style="465" customWidth="1"/>
    <col min="15362" max="15362" width="9" style="465" customWidth="1"/>
    <col min="15363" max="15363" width="6.5703125" style="465" customWidth="1"/>
    <col min="15364" max="15364" width="7.140625" style="465" customWidth="1"/>
    <col min="15365" max="15365" width="7.42578125" style="465" customWidth="1"/>
    <col min="15366" max="15366" width="6.140625" style="465" bestFit="1" customWidth="1"/>
    <col min="15367" max="15367" width="6.140625" style="465" customWidth="1"/>
    <col min="15368" max="15368" width="6.140625" style="465" bestFit="1" customWidth="1"/>
    <col min="15369" max="15369" width="6" style="465" customWidth="1"/>
    <col min="15370" max="15370" width="11.85546875" style="465" customWidth="1"/>
    <col min="15371" max="15371" width="10.42578125" style="465" customWidth="1"/>
    <col min="15372" max="15372" width="9" style="465" customWidth="1"/>
    <col min="15373" max="15373" width="9" style="465" bestFit="1" customWidth="1"/>
    <col min="15374" max="15377" width="9.28515625" style="465" customWidth="1"/>
    <col min="15378" max="15378" width="3.140625" style="465" customWidth="1"/>
    <col min="15379" max="15615" width="11.85546875" style="465"/>
    <col min="15616" max="15616" width="16.42578125" style="465" customWidth="1"/>
    <col min="15617" max="15617" width="8.42578125" style="465" customWidth="1"/>
    <col min="15618" max="15618" width="9" style="465" customWidth="1"/>
    <col min="15619" max="15619" width="6.5703125" style="465" customWidth="1"/>
    <col min="15620" max="15620" width="7.140625" style="465" customWidth="1"/>
    <col min="15621" max="15621" width="7.42578125" style="465" customWidth="1"/>
    <col min="15622" max="15622" width="6.140625" style="465" bestFit="1" customWidth="1"/>
    <col min="15623" max="15623" width="6.140625" style="465" customWidth="1"/>
    <col min="15624" max="15624" width="6.140625" style="465" bestFit="1" customWidth="1"/>
    <col min="15625" max="15625" width="6" style="465" customWidth="1"/>
    <col min="15626" max="15626" width="11.85546875" style="465" customWidth="1"/>
    <col min="15627" max="15627" width="10.42578125" style="465" customWidth="1"/>
    <col min="15628" max="15628" width="9" style="465" customWidth="1"/>
    <col min="15629" max="15629" width="9" style="465" bestFit="1" customWidth="1"/>
    <col min="15630" max="15633" width="9.28515625" style="465" customWidth="1"/>
    <col min="15634" max="15634" width="3.140625" style="465" customWidth="1"/>
    <col min="15635" max="15871" width="11.85546875" style="465"/>
    <col min="15872" max="15872" width="16.42578125" style="465" customWidth="1"/>
    <col min="15873" max="15873" width="8.42578125" style="465" customWidth="1"/>
    <col min="15874" max="15874" width="9" style="465" customWidth="1"/>
    <col min="15875" max="15875" width="6.5703125" style="465" customWidth="1"/>
    <col min="15876" max="15876" width="7.140625" style="465" customWidth="1"/>
    <col min="15877" max="15877" width="7.42578125" style="465" customWidth="1"/>
    <col min="15878" max="15878" width="6.140625" style="465" bestFit="1" customWidth="1"/>
    <col min="15879" max="15879" width="6.140625" style="465" customWidth="1"/>
    <col min="15880" max="15880" width="6.140625" style="465" bestFit="1" customWidth="1"/>
    <col min="15881" max="15881" width="6" style="465" customWidth="1"/>
    <col min="15882" max="15882" width="11.85546875" style="465" customWidth="1"/>
    <col min="15883" max="15883" width="10.42578125" style="465" customWidth="1"/>
    <col min="15884" max="15884" width="9" style="465" customWidth="1"/>
    <col min="15885" max="15885" width="9" style="465" bestFit="1" customWidth="1"/>
    <col min="15886" max="15889" width="9.28515625" style="465" customWidth="1"/>
    <col min="15890" max="15890" width="3.140625" style="465" customWidth="1"/>
    <col min="15891" max="16127" width="11.85546875" style="465"/>
    <col min="16128" max="16128" width="16.42578125" style="465" customWidth="1"/>
    <col min="16129" max="16129" width="8.42578125" style="465" customWidth="1"/>
    <col min="16130" max="16130" width="9" style="465" customWidth="1"/>
    <col min="16131" max="16131" width="6.5703125" style="465" customWidth="1"/>
    <col min="16132" max="16132" width="7.140625" style="465" customWidth="1"/>
    <col min="16133" max="16133" width="7.42578125" style="465" customWidth="1"/>
    <col min="16134" max="16134" width="6.140625" style="465" bestFit="1" customWidth="1"/>
    <col min="16135" max="16135" width="6.140625" style="465" customWidth="1"/>
    <col min="16136" max="16136" width="6.140625" style="465" bestFit="1" customWidth="1"/>
    <col min="16137" max="16137" width="6" style="465" customWidth="1"/>
    <col min="16138" max="16138" width="11.85546875" style="465" customWidth="1"/>
    <col min="16139" max="16139" width="10.42578125" style="465" customWidth="1"/>
    <col min="16140" max="16140" width="9" style="465" customWidth="1"/>
    <col min="16141" max="16141" width="9" style="465" bestFit="1" customWidth="1"/>
    <col min="16142" max="16145" width="9.28515625" style="465" customWidth="1"/>
    <col min="16146" max="16146" width="3.140625" style="465" customWidth="1"/>
    <col min="16147" max="16384" width="11.85546875" style="465"/>
  </cols>
  <sheetData>
    <row r="1" spans="1:19">
      <c r="A1" s="462" t="s">
        <v>468</v>
      </c>
      <c r="B1" s="462"/>
      <c r="C1" s="462"/>
      <c r="D1" s="1386"/>
      <c r="E1" s="1387"/>
      <c r="F1" s="1388"/>
      <c r="G1" s="462"/>
      <c r="H1" s="463" t="s">
        <v>469</v>
      </c>
      <c r="I1" s="462"/>
      <c r="J1" s="462"/>
      <c r="K1" s="462" t="s">
        <v>470</v>
      </c>
      <c r="L1" s="464">
        <f ca="1">TODAY()</f>
        <v>44309</v>
      </c>
      <c r="N1" s="462" t="s">
        <v>471</v>
      </c>
      <c r="O1" s="466">
        <f>+L20+L37</f>
        <v>72594</v>
      </c>
      <c r="P1" s="467"/>
      <c r="R1" s="462" t="s">
        <v>472</v>
      </c>
      <c r="S1" s="468">
        <f>MAX(S8:S19)</f>
        <v>8.5618092105263166</v>
      </c>
    </row>
    <row r="2" spans="1:19">
      <c r="A2" s="462" t="s">
        <v>473</v>
      </c>
      <c r="B2" s="462"/>
      <c r="C2" s="462"/>
      <c r="D2" s="1386"/>
      <c r="E2" s="1387"/>
      <c r="F2" s="1388"/>
      <c r="G2" s="462"/>
      <c r="H2" s="1386"/>
      <c r="I2" s="1387"/>
      <c r="J2" s="1388"/>
      <c r="K2" s="462"/>
      <c r="N2" s="462" t="s">
        <v>474</v>
      </c>
      <c r="O2" s="469">
        <f>+L20</f>
        <v>9894.0000000000018</v>
      </c>
      <c r="P2" s="467"/>
    </row>
    <row r="3" spans="1:19">
      <c r="B3" s="462"/>
      <c r="N3" s="462" t="s">
        <v>475</v>
      </c>
      <c r="O3" s="469">
        <f>+L37</f>
        <v>62700</v>
      </c>
    </row>
    <row r="4" spans="1:19" ht="6.75" customHeight="1">
      <c r="B4" s="470"/>
    </row>
    <row r="5" spans="1:19" ht="15.75">
      <c r="A5" s="471" t="s">
        <v>456</v>
      </c>
      <c r="L5" s="462"/>
      <c r="M5" s="472">
        <v>15</v>
      </c>
      <c r="N5" s="472">
        <v>100</v>
      </c>
      <c r="O5" s="472">
        <v>15</v>
      </c>
      <c r="P5" s="472">
        <v>15</v>
      </c>
    </row>
    <row r="6" spans="1:19">
      <c r="A6" s="473"/>
      <c r="L6" s="462" t="s">
        <v>476</v>
      </c>
      <c r="M6" s="1389" t="s">
        <v>477</v>
      </c>
      <c r="N6" s="1390"/>
      <c r="O6" s="1390"/>
      <c r="P6" s="1390"/>
      <c r="Q6" s="1390"/>
    </row>
    <row r="7" spans="1:19" s="488" customFormat="1" ht="67.5">
      <c r="A7" s="474" t="s">
        <v>478</v>
      </c>
      <c r="B7" s="475" t="s">
        <v>479</v>
      </c>
      <c r="C7" s="475" t="s">
        <v>480</v>
      </c>
      <c r="D7" s="476" t="s">
        <v>481</v>
      </c>
      <c r="E7" s="477" t="s">
        <v>73</v>
      </c>
      <c r="F7" s="478" t="s">
        <v>482</v>
      </c>
      <c r="G7" s="479" t="s">
        <v>483</v>
      </c>
      <c r="H7" s="480" t="s">
        <v>484</v>
      </c>
      <c r="I7" s="479" t="s">
        <v>73</v>
      </c>
      <c r="J7" s="481" t="s">
        <v>485</v>
      </c>
      <c r="K7" s="477" t="s">
        <v>486</v>
      </c>
      <c r="L7" s="482" t="s">
        <v>267</v>
      </c>
      <c r="M7" s="483" t="s">
        <v>487</v>
      </c>
      <c r="N7" s="484" t="s">
        <v>488</v>
      </c>
      <c r="O7" s="485" t="s">
        <v>489</v>
      </c>
      <c r="P7" s="486" t="s">
        <v>490</v>
      </c>
      <c r="Q7" s="487" t="s">
        <v>491</v>
      </c>
      <c r="S7" s="489" t="s">
        <v>492</v>
      </c>
    </row>
    <row r="8" spans="1:19" ht="15.75">
      <c r="A8" s="465" t="s">
        <v>7</v>
      </c>
      <c r="B8" s="490">
        <v>22</v>
      </c>
      <c r="C8" s="491">
        <v>22</v>
      </c>
      <c r="D8" s="492">
        <f>B8*C8</f>
        <v>484</v>
      </c>
      <c r="E8" s="493">
        <v>0.05</v>
      </c>
      <c r="F8" s="494">
        <f>(D8*E8)/2</f>
        <v>12.100000000000001</v>
      </c>
      <c r="G8" s="493">
        <v>0.2</v>
      </c>
      <c r="H8" s="494">
        <f>+F8*G8</f>
        <v>2.4200000000000004</v>
      </c>
      <c r="I8" s="493">
        <v>0.3</v>
      </c>
      <c r="J8" s="495">
        <f>+H8*I8</f>
        <v>0.72600000000000009</v>
      </c>
      <c r="K8" s="496">
        <v>1000</v>
      </c>
      <c r="L8" s="497">
        <f>+J8*K8</f>
        <v>726.00000000000011</v>
      </c>
      <c r="M8" s="498">
        <f t="shared" ref="M8:M19" si="0">IF(ISERROR((D8*M$5/60)/$B8),0,((D8*M$5/60)/$B8))</f>
        <v>5.5</v>
      </c>
      <c r="N8" s="498">
        <f t="shared" ref="N8:N19" si="1">IF(ISERROR((F8*N$5/60)/$B8),0,((F8*N$5/60)/$B8))</f>
        <v>0.91666666666666685</v>
      </c>
      <c r="O8" s="499">
        <f t="shared" ref="O8:O19" si="2">IF(ISERROR((H8*O$5)/60),0,((H8*O$5)/60))</f>
        <v>0.60500000000000009</v>
      </c>
      <c r="P8" s="499">
        <f t="shared" ref="P8:P19" si="3">IF(ISERROR((J8*P$5)/60),0,(J8*P$5)/60)</f>
        <v>0.18150000000000002</v>
      </c>
      <c r="Q8" s="498">
        <f>M8+N8+O8+P8</f>
        <v>7.2031666666666672</v>
      </c>
      <c r="S8" s="468">
        <f>+Q8+Q25</f>
        <v>7.2031666666666672</v>
      </c>
    </row>
    <row r="9" spans="1:19" ht="15.75">
      <c r="A9" s="465" t="s">
        <v>8</v>
      </c>
      <c r="B9" s="500">
        <v>20</v>
      </c>
      <c r="C9" s="501">
        <v>15</v>
      </c>
      <c r="D9" s="502">
        <f t="shared" ref="D9:D19" si="4">B9*C9</f>
        <v>300</v>
      </c>
      <c r="E9" s="503">
        <v>0.05</v>
      </c>
      <c r="F9" s="504">
        <f>(E8/2*D8)+(E9/2*D9)</f>
        <v>19.600000000000001</v>
      </c>
      <c r="G9" s="503">
        <v>0.2</v>
      </c>
      <c r="H9" s="504">
        <f t="shared" ref="H9:H19" si="5">+F9*G9</f>
        <v>3.9200000000000004</v>
      </c>
      <c r="I9" s="503">
        <v>0.3</v>
      </c>
      <c r="J9" s="505">
        <f t="shared" ref="J9:J19" si="6">+H9*I9</f>
        <v>1.1760000000000002</v>
      </c>
      <c r="K9" s="506">
        <v>1000</v>
      </c>
      <c r="L9" s="507">
        <f>+J9*K9</f>
        <v>1176.0000000000002</v>
      </c>
      <c r="M9" s="498">
        <f t="shared" si="0"/>
        <v>3.75</v>
      </c>
      <c r="N9" s="498">
        <f t="shared" si="1"/>
        <v>1.6333333333333335</v>
      </c>
      <c r="O9" s="499">
        <f t="shared" si="2"/>
        <v>0.98000000000000009</v>
      </c>
      <c r="P9" s="499">
        <f t="shared" si="3"/>
        <v>0.29399999999999998</v>
      </c>
      <c r="Q9" s="498">
        <f>M9+N9+O8+P9</f>
        <v>6.2823333333333338</v>
      </c>
      <c r="S9" s="468">
        <f t="shared" ref="S9:S19" si="7">+Q9+Q26</f>
        <v>6.2823333333333338</v>
      </c>
    </row>
    <row r="10" spans="1:19" ht="15.75">
      <c r="A10" s="465" t="s">
        <v>9</v>
      </c>
      <c r="B10" s="500">
        <v>21</v>
      </c>
      <c r="C10" s="501">
        <v>15</v>
      </c>
      <c r="D10" s="502">
        <f t="shared" si="4"/>
        <v>315</v>
      </c>
      <c r="E10" s="503">
        <v>0.05</v>
      </c>
      <c r="F10" s="504">
        <f t="shared" ref="F10:F19" si="8">(E9/2*D9)+(E10/2*D10)</f>
        <v>15.375</v>
      </c>
      <c r="G10" s="503">
        <v>0.2</v>
      </c>
      <c r="H10" s="504">
        <f t="shared" si="5"/>
        <v>3.0750000000000002</v>
      </c>
      <c r="I10" s="503">
        <v>0.3</v>
      </c>
      <c r="J10" s="505">
        <f t="shared" si="6"/>
        <v>0.92249999999999999</v>
      </c>
      <c r="K10" s="506">
        <v>1000</v>
      </c>
      <c r="L10" s="507">
        <f t="shared" ref="L10:L19" si="9">+J10*K10</f>
        <v>922.5</v>
      </c>
      <c r="M10" s="498">
        <f t="shared" si="0"/>
        <v>3.75</v>
      </c>
      <c r="N10" s="498">
        <f t="shared" si="1"/>
        <v>1.2202380952380953</v>
      </c>
      <c r="O10" s="499">
        <f t="shared" si="2"/>
        <v>0.76875000000000004</v>
      </c>
      <c r="P10" s="499">
        <f t="shared" si="3"/>
        <v>0.230625</v>
      </c>
      <c r="Q10" s="498">
        <f t="shared" ref="Q10:Q19" si="10">M10+N10+O10+P10</f>
        <v>5.9696130952380946</v>
      </c>
      <c r="S10" s="468">
        <f t="shared" si="7"/>
        <v>5.9696130952380946</v>
      </c>
    </row>
    <row r="11" spans="1:19" ht="15.75">
      <c r="A11" s="465" t="s">
        <v>10</v>
      </c>
      <c r="B11" s="500">
        <v>17</v>
      </c>
      <c r="C11" s="501">
        <v>15</v>
      </c>
      <c r="D11" s="502">
        <f t="shared" si="4"/>
        <v>255</v>
      </c>
      <c r="E11" s="503">
        <v>0.05</v>
      </c>
      <c r="F11" s="504">
        <f>(E10/2*D10)+(E11/2*D11)</f>
        <v>14.25</v>
      </c>
      <c r="G11" s="503">
        <v>0.2</v>
      </c>
      <c r="H11" s="504">
        <f t="shared" si="5"/>
        <v>2.85</v>
      </c>
      <c r="I11" s="503">
        <v>0.3</v>
      </c>
      <c r="J11" s="505">
        <f t="shared" si="6"/>
        <v>0.85499999999999998</v>
      </c>
      <c r="K11" s="506">
        <v>1000</v>
      </c>
      <c r="L11" s="507">
        <f t="shared" si="9"/>
        <v>855</v>
      </c>
      <c r="M11" s="498">
        <f t="shared" si="0"/>
        <v>3.75</v>
      </c>
      <c r="N11" s="498">
        <f t="shared" si="1"/>
        <v>1.3970588235294117</v>
      </c>
      <c r="O11" s="499">
        <f t="shared" si="2"/>
        <v>0.71250000000000002</v>
      </c>
      <c r="P11" s="499">
        <f t="shared" si="3"/>
        <v>0.21375</v>
      </c>
      <c r="Q11" s="498">
        <f t="shared" si="10"/>
        <v>6.0733088235294117</v>
      </c>
      <c r="S11" s="468">
        <f t="shared" si="7"/>
        <v>7.1753921568627455</v>
      </c>
    </row>
    <row r="12" spans="1:19" ht="15.75">
      <c r="A12" s="465" t="s">
        <v>11</v>
      </c>
      <c r="B12" s="500">
        <v>22</v>
      </c>
      <c r="C12" s="501">
        <v>15</v>
      </c>
      <c r="D12" s="502">
        <f t="shared" si="4"/>
        <v>330</v>
      </c>
      <c r="E12" s="503">
        <v>0.05</v>
      </c>
      <c r="F12" s="504">
        <f t="shared" si="8"/>
        <v>14.625</v>
      </c>
      <c r="G12" s="503">
        <v>0.2</v>
      </c>
      <c r="H12" s="504">
        <f t="shared" si="5"/>
        <v>2.9250000000000003</v>
      </c>
      <c r="I12" s="503">
        <v>0.3</v>
      </c>
      <c r="J12" s="505">
        <f t="shared" si="6"/>
        <v>0.87750000000000006</v>
      </c>
      <c r="K12" s="506">
        <v>1000</v>
      </c>
      <c r="L12" s="507">
        <f t="shared" si="9"/>
        <v>877.50000000000011</v>
      </c>
      <c r="M12" s="498">
        <f t="shared" si="0"/>
        <v>3.75</v>
      </c>
      <c r="N12" s="498">
        <f t="shared" si="1"/>
        <v>1.1079545454545454</v>
      </c>
      <c r="O12" s="499">
        <f t="shared" si="2"/>
        <v>0.73125000000000007</v>
      </c>
      <c r="P12" s="499">
        <f t="shared" si="3"/>
        <v>0.21937500000000001</v>
      </c>
      <c r="Q12" s="498">
        <f t="shared" si="10"/>
        <v>5.8085795454545455</v>
      </c>
      <c r="S12" s="468">
        <f t="shared" si="7"/>
        <v>7.2288446969696967</v>
      </c>
    </row>
    <row r="13" spans="1:19" ht="15.75">
      <c r="A13" s="465" t="s">
        <v>12</v>
      </c>
      <c r="B13" s="500">
        <v>19</v>
      </c>
      <c r="C13" s="501">
        <v>15</v>
      </c>
      <c r="D13" s="502">
        <f t="shared" si="4"/>
        <v>285</v>
      </c>
      <c r="E13" s="503">
        <v>0.05</v>
      </c>
      <c r="F13" s="504">
        <f t="shared" si="8"/>
        <v>15.375</v>
      </c>
      <c r="G13" s="503">
        <v>0.2</v>
      </c>
      <c r="H13" s="504">
        <f t="shared" si="5"/>
        <v>3.0750000000000002</v>
      </c>
      <c r="I13" s="503">
        <v>0.3</v>
      </c>
      <c r="J13" s="505">
        <f t="shared" si="6"/>
        <v>0.92249999999999999</v>
      </c>
      <c r="K13" s="506">
        <v>1000</v>
      </c>
      <c r="L13" s="507">
        <f t="shared" si="9"/>
        <v>922.5</v>
      </c>
      <c r="M13" s="498">
        <f t="shared" si="0"/>
        <v>3.75</v>
      </c>
      <c r="N13" s="498">
        <f t="shared" si="1"/>
        <v>1.3486842105263157</v>
      </c>
      <c r="O13" s="499">
        <f t="shared" si="2"/>
        <v>0.76875000000000004</v>
      </c>
      <c r="P13" s="499">
        <f t="shared" si="3"/>
        <v>0.230625</v>
      </c>
      <c r="Q13" s="498">
        <f t="shared" si="10"/>
        <v>6.0980592105263156</v>
      </c>
      <c r="S13" s="468">
        <f t="shared" si="7"/>
        <v>7.4025548245614035</v>
      </c>
    </row>
    <row r="14" spans="1:19" ht="15.75">
      <c r="A14" s="465" t="s">
        <v>13</v>
      </c>
      <c r="B14" s="500">
        <v>23</v>
      </c>
      <c r="C14" s="501">
        <v>15</v>
      </c>
      <c r="D14" s="502">
        <f t="shared" si="4"/>
        <v>345</v>
      </c>
      <c r="E14" s="503">
        <v>0.05</v>
      </c>
      <c r="F14" s="504">
        <f t="shared" si="8"/>
        <v>15.75</v>
      </c>
      <c r="G14" s="503">
        <v>0.2</v>
      </c>
      <c r="H14" s="504">
        <f t="shared" si="5"/>
        <v>3.1500000000000004</v>
      </c>
      <c r="I14" s="503">
        <v>0.3</v>
      </c>
      <c r="J14" s="505">
        <f t="shared" si="6"/>
        <v>0.94500000000000006</v>
      </c>
      <c r="K14" s="506">
        <v>1000</v>
      </c>
      <c r="L14" s="507">
        <f t="shared" si="9"/>
        <v>945.00000000000011</v>
      </c>
      <c r="M14" s="498">
        <f t="shared" si="0"/>
        <v>3.75</v>
      </c>
      <c r="N14" s="498">
        <f t="shared" si="1"/>
        <v>1.1413043478260869</v>
      </c>
      <c r="O14" s="499">
        <f t="shared" si="2"/>
        <v>0.78750000000000009</v>
      </c>
      <c r="P14" s="499">
        <f t="shared" si="3"/>
        <v>0.23625000000000002</v>
      </c>
      <c r="Q14" s="498">
        <f t="shared" si="10"/>
        <v>5.9150543478260875</v>
      </c>
      <c r="S14" s="468">
        <f t="shared" si="7"/>
        <v>7.4479347826086961</v>
      </c>
    </row>
    <row r="15" spans="1:19" ht="15.75">
      <c r="A15" s="465" t="s">
        <v>14</v>
      </c>
      <c r="B15" s="500">
        <v>0</v>
      </c>
      <c r="C15" s="501">
        <v>15</v>
      </c>
      <c r="D15" s="502">
        <f t="shared" si="4"/>
        <v>0</v>
      </c>
      <c r="E15" s="503">
        <v>0.05</v>
      </c>
      <c r="F15" s="504">
        <f>(E14/2*D14)+(E15/2*D15)</f>
        <v>8.625</v>
      </c>
      <c r="G15" s="503">
        <v>0.2</v>
      </c>
      <c r="H15" s="504">
        <f t="shared" si="5"/>
        <v>1.7250000000000001</v>
      </c>
      <c r="I15" s="503">
        <v>0.3</v>
      </c>
      <c r="J15" s="505">
        <f t="shared" si="6"/>
        <v>0.51749999999999996</v>
      </c>
      <c r="K15" s="506">
        <v>1000</v>
      </c>
      <c r="L15" s="507">
        <f t="shared" si="9"/>
        <v>517.5</v>
      </c>
      <c r="M15" s="498">
        <f t="shared" si="0"/>
        <v>0</v>
      </c>
      <c r="N15" s="498">
        <f t="shared" si="1"/>
        <v>0</v>
      </c>
      <c r="O15" s="499">
        <f t="shared" si="2"/>
        <v>0.43125000000000002</v>
      </c>
      <c r="P15" s="499">
        <f t="shared" si="3"/>
        <v>0.12937499999999999</v>
      </c>
      <c r="Q15" s="498">
        <f t="shared" si="10"/>
        <v>0.56062500000000004</v>
      </c>
      <c r="S15" s="468">
        <f t="shared" si="7"/>
        <v>0.56062500000000004</v>
      </c>
    </row>
    <row r="16" spans="1:19" ht="15.75">
      <c r="A16" s="465" t="s">
        <v>15</v>
      </c>
      <c r="B16" s="500">
        <v>20</v>
      </c>
      <c r="C16" s="501">
        <v>15</v>
      </c>
      <c r="D16" s="502">
        <f t="shared" si="4"/>
        <v>300</v>
      </c>
      <c r="E16" s="503">
        <v>0.05</v>
      </c>
      <c r="F16" s="504">
        <f t="shared" si="8"/>
        <v>7.5</v>
      </c>
      <c r="G16" s="503">
        <v>0.2</v>
      </c>
      <c r="H16" s="504">
        <f t="shared" si="5"/>
        <v>1.5</v>
      </c>
      <c r="I16" s="503">
        <v>0.3</v>
      </c>
      <c r="J16" s="505">
        <f t="shared" si="6"/>
        <v>0.44999999999999996</v>
      </c>
      <c r="K16" s="506">
        <v>1000</v>
      </c>
      <c r="L16" s="507">
        <f t="shared" si="9"/>
        <v>449.99999999999994</v>
      </c>
      <c r="M16" s="498">
        <f t="shared" si="0"/>
        <v>3.75</v>
      </c>
      <c r="N16" s="498">
        <f t="shared" si="1"/>
        <v>0.625</v>
      </c>
      <c r="O16" s="499">
        <f t="shared" si="2"/>
        <v>0.375</v>
      </c>
      <c r="P16" s="499">
        <f t="shared" si="3"/>
        <v>0.11249999999999999</v>
      </c>
      <c r="Q16" s="498">
        <f t="shared" si="10"/>
        <v>4.8624999999999998</v>
      </c>
      <c r="S16" s="468">
        <f t="shared" si="7"/>
        <v>6.1749999999999998</v>
      </c>
    </row>
    <row r="17" spans="1:19" ht="15.75">
      <c r="A17" s="465" t="s">
        <v>16</v>
      </c>
      <c r="B17" s="500">
        <v>19</v>
      </c>
      <c r="C17" s="501">
        <v>15</v>
      </c>
      <c r="D17" s="502">
        <f t="shared" si="4"/>
        <v>285</v>
      </c>
      <c r="E17" s="503">
        <v>0.05</v>
      </c>
      <c r="F17" s="504">
        <f t="shared" si="8"/>
        <v>14.625</v>
      </c>
      <c r="G17" s="503">
        <v>0.2</v>
      </c>
      <c r="H17" s="504">
        <f t="shared" si="5"/>
        <v>2.9250000000000003</v>
      </c>
      <c r="I17" s="503">
        <v>0.3</v>
      </c>
      <c r="J17" s="505">
        <f t="shared" si="6"/>
        <v>0.87750000000000006</v>
      </c>
      <c r="K17" s="506">
        <v>1000</v>
      </c>
      <c r="L17" s="507">
        <f t="shared" si="9"/>
        <v>877.50000000000011</v>
      </c>
      <c r="M17" s="498">
        <f t="shared" si="0"/>
        <v>3.75</v>
      </c>
      <c r="N17" s="498">
        <f t="shared" si="1"/>
        <v>1.2828947368421053</v>
      </c>
      <c r="O17" s="499">
        <f t="shared" si="2"/>
        <v>0.73125000000000007</v>
      </c>
      <c r="P17" s="499">
        <f t="shared" si="3"/>
        <v>0.21937500000000001</v>
      </c>
      <c r="Q17" s="498">
        <f t="shared" si="10"/>
        <v>5.9835197368421058</v>
      </c>
      <c r="S17" s="468">
        <f t="shared" si="7"/>
        <v>8.5618092105263166</v>
      </c>
    </row>
    <row r="18" spans="1:19" ht="15.75">
      <c r="A18" s="465" t="s">
        <v>17</v>
      </c>
      <c r="B18" s="500">
        <v>21</v>
      </c>
      <c r="C18" s="501">
        <v>14</v>
      </c>
      <c r="D18" s="502">
        <f t="shared" si="4"/>
        <v>294</v>
      </c>
      <c r="E18" s="503">
        <v>0.05</v>
      </c>
      <c r="F18" s="504">
        <f t="shared" si="8"/>
        <v>14.475000000000001</v>
      </c>
      <c r="G18" s="503">
        <v>0.2</v>
      </c>
      <c r="H18" s="504">
        <f t="shared" si="5"/>
        <v>2.8950000000000005</v>
      </c>
      <c r="I18" s="503">
        <v>0.3</v>
      </c>
      <c r="J18" s="505">
        <f t="shared" si="6"/>
        <v>0.86850000000000016</v>
      </c>
      <c r="K18" s="506">
        <v>1000</v>
      </c>
      <c r="L18" s="507">
        <f t="shared" si="9"/>
        <v>868.50000000000011</v>
      </c>
      <c r="M18" s="498">
        <f t="shared" si="0"/>
        <v>3.5</v>
      </c>
      <c r="N18" s="498">
        <f t="shared" si="1"/>
        <v>1.1488095238095239</v>
      </c>
      <c r="O18" s="499">
        <f t="shared" si="2"/>
        <v>0.72375000000000012</v>
      </c>
      <c r="P18" s="499">
        <f t="shared" si="3"/>
        <v>0.21712500000000004</v>
      </c>
      <c r="Q18" s="498">
        <f t="shared" si="10"/>
        <v>5.5896845238095239</v>
      </c>
      <c r="S18" s="468">
        <f t="shared" si="7"/>
        <v>8.4402797619047618</v>
      </c>
    </row>
    <row r="19" spans="1:19" ht="15.75">
      <c r="A19" s="465" t="s">
        <v>18</v>
      </c>
      <c r="B19" s="508">
        <v>14</v>
      </c>
      <c r="C19" s="509">
        <v>15</v>
      </c>
      <c r="D19" s="510">
        <f t="shared" si="4"/>
        <v>210</v>
      </c>
      <c r="E19" s="511">
        <v>0.05</v>
      </c>
      <c r="F19" s="512">
        <f t="shared" si="8"/>
        <v>12.600000000000001</v>
      </c>
      <c r="G19" s="511">
        <v>0.2</v>
      </c>
      <c r="H19" s="512">
        <f t="shared" si="5"/>
        <v>2.5200000000000005</v>
      </c>
      <c r="I19" s="511">
        <v>0.3</v>
      </c>
      <c r="J19" s="513">
        <f t="shared" si="6"/>
        <v>0.75600000000000012</v>
      </c>
      <c r="K19" s="514">
        <v>1000</v>
      </c>
      <c r="L19" s="515">
        <f t="shared" si="9"/>
        <v>756.00000000000011</v>
      </c>
      <c r="M19" s="498">
        <f t="shared" si="0"/>
        <v>3.75</v>
      </c>
      <c r="N19" s="498">
        <f t="shared" si="1"/>
        <v>1.5000000000000002</v>
      </c>
      <c r="O19" s="499">
        <f t="shared" si="2"/>
        <v>0.63000000000000012</v>
      </c>
      <c r="P19" s="499">
        <f t="shared" si="3"/>
        <v>0.18900000000000003</v>
      </c>
      <c r="Q19" s="498">
        <f t="shared" si="10"/>
        <v>6.069</v>
      </c>
      <c r="S19" s="468">
        <f t="shared" si="7"/>
        <v>8.2065000000000001</v>
      </c>
    </row>
    <row r="20" spans="1:19" ht="15.75">
      <c r="B20" s="465">
        <f>SUM(B8:B19)</f>
        <v>218</v>
      </c>
      <c r="D20" s="469">
        <f>SUM(D8:D19)</f>
        <v>3403</v>
      </c>
      <c r="F20" s="516">
        <f>SUM(F8:F19)</f>
        <v>164.89999999999998</v>
      </c>
      <c r="H20" s="516">
        <f>SUM(H8:H19)</f>
        <v>32.980000000000004</v>
      </c>
      <c r="J20" s="516">
        <f>SUM(J8:J19)</f>
        <v>9.8940000000000019</v>
      </c>
      <c r="K20" s="517">
        <f>AVERAGE(K8:K19)</f>
        <v>1000</v>
      </c>
      <c r="L20" s="518">
        <f>SUM(L8:L19)</f>
        <v>9894.0000000000018</v>
      </c>
      <c r="M20" s="518"/>
      <c r="N20" s="518"/>
      <c r="O20" s="518"/>
      <c r="P20" s="518"/>
      <c r="Q20" s="518"/>
    </row>
    <row r="21" spans="1:19" ht="5.25" customHeight="1">
      <c r="S21" s="465" t="s">
        <v>46</v>
      </c>
    </row>
    <row r="22" spans="1:19" ht="15.75">
      <c r="A22" s="519" t="s">
        <v>493</v>
      </c>
      <c r="L22" s="462"/>
      <c r="M22" s="520">
        <v>10</v>
      </c>
    </row>
    <row r="23" spans="1:19">
      <c r="A23" s="521"/>
      <c r="L23" s="462" t="s">
        <v>476</v>
      </c>
    </row>
    <row r="24" spans="1:19" s="527" customFormat="1" ht="56.25">
      <c r="A24" s="522" t="s">
        <v>478</v>
      </c>
      <c r="B24" s="475" t="s">
        <v>479</v>
      </c>
      <c r="C24" s="475" t="s">
        <v>494</v>
      </c>
      <c r="D24" s="476" t="s">
        <v>495</v>
      </c>
      <c r="E24" s="477" t="s">
        <v>73</v>
      </c>
      <c r="F24" s="478" t="s">
        <v>496</v>
      </c>
      <c r="G24" s="479" t="s">
        <v>497</v>
      </c>
      <c r="H24" s="480" t="s">
        <v>498</v>
      </c>
      <c r="I24" s="479" t="s">
        <v>499</v>
      </c>
      <c r="J24" s="481" t="s">
        <v>485</v>
      </c>
      <c r="K24" s="477" t="s">
        <v>486</v>
      </c>
      <c r="L24" s="482" t="s">
        <v>267</v>
      </c>
      <c r="M24" s="483" t="s">
        <v>500</v>
      </c>
      <c r="N24" s="523" t="s">
        <v>488</v>
      </c>
      <c r="O24" s="524" t="s">
        <v>489</v>
      </c>
      <c r="P24" s="525" t="s">
        <v>490</v>
      </c>
      <c r="Q24" s="526" t="s">
        <v>501</v>
      </c>
    </row>
    <row r="25" spans="1:19" ht="15.75">
      <c r="A25" s="465" t="s">
        <v>7</v>
      </c>
      <c r="B25" s="490">
        <f>+B8</f>
        <v>22</v>
      </c>
      <c r="C25" s="491">
        <v>0</v>
      </c>
      <c r="D25" s="492">
        <f>B25*C25</f>
        <v>0</v>
      </c>
      <c r="E25" s="493">
        <v>0</v>
      </c>
      <c r="F25" s="494">
        <f>(D25*E25)/2</f>
        <v>0</v>
      </c>
      <c r="G25" s="493">
        <v>0</v>
      </c>
      <c r="H25" s="494">
        <f>+D25*G25</f>
        <v>0</v>
      </c>
      <c r="I25" s="493">
        <v>0.5</v>
      </c>
      <c r="J25" s="495">
        <f>+H25*I25</f>
        <v>0</v>
      </c>
      <c r="K25" s="496">
        <v>4000</v>
      </c>
      <c r="L25" s="497">
        <f>+J25*K25</f>
        <v>0</v>
      </c>
      <c r="M25" s="498">
        <f t="shared" ref="M25:M36" si="11">IF(ISERROR((D25*M$5/60)/$B25),0,((D25*M$5/60)/$B25))</f>
        <v>0</v>
      </c>
      <c r="N25" s="498">
        <f t="shared" ref="N25:N36" si="12">IF(ISERROR((F25*N$5/60)/$B25),0,((F25*N$5/60)/$B25))</f>
        <v>0</v>
      </c>
      <c r="O25" s="499">
        <f t="shared" ref="O25:O36" si="13">IF(ISERROR((H25*O$5)/60),0,((H25*O$5)/60))</f>
        <v>0</v>
      </c>
      <c r="P25" s="499">
        <f t="shared" ref="P25:P36" si="14">IF(ISERROR((J25*P$5)/60),0,(J25*P$5)/60)</f>
        <v>0</v>
      </c>
      <c r="Q25" s="498">
        <f>M25+N25+O25+P25</f>
        <v>0</v>
      </c>
    </row>
    <row r="26" spans="1:19" ht="15.75">
      <c r="A26" s="465" t="s">
        <v>8</v>
      </c>
      <c r="B26" s="500">
        <f t="shared" ref="B26:B36" si="15">+B9</f>
        <v>20</v>
      </c>
      <c r="C26" s="501">
        <v>0</v>
      </c>
      <c r="D26" s="502">
        <f>B26*C26</f>
        <v>0</v>
      </c>
      <c r="E26" s="503">
        <v>0</v>
      </c>
      <c r="F26" s="504">
        <f>(E25/2*D25)+(E26/2*D26)</f>
        <v>0</v>
      </c>
      <c r="G26" s="503">
        <v>0</v>
      </c>
      <c r="H26" s="504">
        <f t="shared" ref="H26:H36" si="16">+D26*G26</f>
        <v>0</v>
      </c>
      <c r="I26" s="503">
        <v>0.5</v>
      </c>
      <c r="J26" s="505">
        <f t="shared" ref="J26:J36" si="17">+H26*I26</f>
        <v>0</v>
      </c>
      <c r="K26" s="506">
        <v>4000</v>
      </c>
      <c r="L26" s="507">
        <f>+J26*K26</f>
        <v>0</v>
      </c>
      <c r="M26" s="498">
        <f t="shared" si="11"/>
        <v>0</v>
      </c>
      <c r="N26" s="498">
        <f t="shared" si="12"/>
        <v>0</v>
      </c>
      <c r="O26" s="499">
        <f t="shared" si="13"/>
        <v>0</v>
      </c>
      <c r="P26" s="499">
        <f t="shared" si="14"/>
        <v>0</v>
      </c>
      <c r="Q26" s="498">
        <f t="shared" ref="Q26:Q31" si="18">M26+N26+O26+P26</f>
        <v>0</v>
      </c>
    </row>
    <row r="27" spans="1:19" ht="15.75">
      <c r="A27" s="465" t="s">
        <v>9</v>
      </c>
      <c r="B27" s="500">
        <f t="shared" si="15"/>
        <v>21</v>
      </c>
      <c r="C27" s="501">
        <v>0</v>
      </c>
      <c r="D27" s="502">
        <f t="shared" ref="D27:D36" si="19">B27*C27</f>
        <v>0</v>
      </c>
      <c r="E27" s="503">
        <v>0</v>
      </c>
      <c r="F27" s="504">
        <f t="shared" ref="F27:F36" si="20">(E26/2*D26)+(E27/2*D27)</f>
        <v>0</v>
      </c>
      <c r="G27" s="503">
        <v>0</v>
      </c>
      <c r="H27" s="504">
        <f t="shared" si="16"/>
        <v>0</v>
      </c>
      <c r="I27" s="503">
        <v>0.5</v>
      </c>
      <c r="J27" s="505">
        <f t="shared" si="17"/>
        <v>0</v>
      </c>
      <c r="K27" s="506">
        <v>4000</v>
      </c>
      <c r="L27" s="507">
        <f t="shared" ref="L27:L36" si="21">+J27*K27</f>
        <v>0</v>
      </c>
      <c r="M27" s="498">
        <f t="shared" si="11"/>
        <v>0</v>
      </c>
      <c r="N27" s="498">
        <f t="shared" si="12"/>
        <v>0</v>
      </c>
      <c r="O27" s="499">
        <f t="shared" si="13"/>
        <v>0</v>
      </c>
      <c r="P27" s="499">
        <f t="shared" si="14"/>
        <v>0</v>
      </c>
      <c r="Q27" s="498">
        <f t="shared" si="18"/>
        <v>0</v>
      </c>
    </row>
    <row r="28" spans="1:19" ht="15.75">
      <c r="A28" s="465" t="s">
        <v>10</v>
      </c>
      <c r="B28" s="500">
        <f t="shared" si="15"/>
        <v>17</v>
      </c>
      <c r="C28" s="501">
        <v>0.5</v>
      </c>
      <c r="D28" s="502">
        <f t="shared" si="19"/>
        <v>8.5</v>
      </c>
      <c r="E28" s="503">
        <v>0.05</v>
      </c>
      <c r="F28" s="504">
        <f t="shared" si="20"/>
        <v>0.21250000000000002</v>
      </c>
      <c r="G28" s="503">
        <v>0.3</v>
      </c>
      <c r="H28" s="504">
        <f t="shared" si="16"/>
        <v>2.5499999999999998</v>
      </c>
      <c r="I28" s="503">
        <v>0.5</v>
      </c>
      <c r="J28" s="505">
        <f t="shared" si="17"/>
        <v>1.2749999999999999</v>
      </c>
      <c r="K28" s="506">
        <v>4000</v>
      </c>
      <c r="L28" s="507">
        <f t="shared" si="21"/>
        <v>5100</v>
      </c>
      <c r="M28" s="498">
        <f t="shared" si="11"/>
        <v>0.125</v>
      </c>
      <c r="N28" s="498">
        <f t="shared" si="12"/>
        <v>2.0833333333333339E-2</v>
      </c>
      <c r="O28" s="499">
        <f t="shared" si="13"/>
        <v>0.63749999999999996</v>
      </c>
      <c r="P28" s="499">
        <f t="shared" si="14"/>
        <v>0.31874999999999998</v>
      </c>
      <c r="Q28" s="498">
        <f t="shared" si="18"/>
        <v>1.1020833333333333</v>
      </c>
    </row>
    <row r="29" spans="1:19" ht="15.75">
      <c r="A29" s="465" t="s">
        <v>11</v>
      </c>
      <c r="B29" s="500">
        <f t="shared" si="15"/>
        <v>22</v>
      </c>
      <c r="C29" s="501">
        <v>0.5</v>
      </c>
      <c r="D29" s="502">
        <f t="shared" si="19"/>
        <v>11</v>
      </c>
      <c r="E29" s="503">
        <v>0.1</v>
      </c>
      <c r="F29" s="504">
        <f t="shared" si="20"/>
        <v>0.76250000000000007</v>
      </c>
      <c r="G29" s="503">
        <v>0.3</v>
      </c>
      <c r="H29" s="504">
        <f t="shared" si="16"/>
        <v>3.3</v>
      </c>
      <c r="I29" s="503">
        <v>0.5</v>
      </c>
      <c r="J29" s="505">
        <f t="shared" si="17"/>
        <v>1.65</v>
      </c>
      <c r="K29" s="506">
        <v>4000</v>
      </c>
      <c r="L29" s="507">
        <f t="shared" si="21"/>
        <v>6600</v>
      </c>
      <c r="M29" s="498">
        <f t="shared" si="11"/>
        <v>0.125</v>
      </c>
      <c r="N29" s="498">
        <f t="shared" si="12"/>
        <v>5.7765151515151512E-2</v>
      </c>
      <c r="O29" s="499">
        <f t="shared" si="13"/>
        <v>0.82499999999999996</v>
      </c>
      <c r="P29" s="499">
        <f t="shared" si="14"/>
        <v>0.41249999999999998</v>
      </c>
      <c r="Q29" s="498">
        <f t="shared" si="18"/>
        <v>1.4202651515151516</v>
      </c>
    </row>
    <row r="30" spans="1:19" ht="15.75">
      <c r="A30" s="465" t="s">
        <v>12</v>
      </c>
      <c r="B30" s="500">
        <f t="shared" si="15"/>
        <v>19</v>
      </c>
      <c r="C30" s="501">
        <v>0.5</v>
      </c>
      <c r="D30" s="502">
        <f t="shared" si="19"/>
        <v>9.5</v>
      </c>
      <c r="E30" s="503">
        <v>0.15</v>
      </c>
      <c r="F30" s="504">
        <f t="shared" si="20"/>
        <v>1.2625000000000002</v>
      </c>
      <c r="G30" s="503">
        <v>0.3</v>
      </c>
      <c r="H30" s="504">
        <f t="shared" si="16"/>
        <v>2.85</v>
      </c>
      <c r="I30" s="503">
        <v>0.5</v>
      </c>
      <c r="J30" s="505">
        <f t="shared" si="17"/>
        <v>1.425</v>
      </c>
      <c r="K30" s="506">
        <v>4000</v>
      </c>
      <c r="L30" s="507">
        <f t="shared" si="21"/>
        <v>5700</v>
      </c>
      <c r="M30" s="498">
        <f t="shared" si="11"/>
        <v>0.125</v>
      </c>
      <c r="N30" s="498">
        <f t="shared" si="12"/>
        <v>0.11074561403508773</v>
      </c>
      <c r="O30" s="499">
        <f t="shared" si="13"/>
        <v>0.71250000000000002</v>
      </c>
      <c r="P30" s="499">
        <f t="shared" si="14"/>
        <v>0.35625000000000001</v>
      </c>
      <c r="Q30" s="498">
        <f t="shared" si="18"/>
        <v>1.3044956140350878</v>
      </c>
    </row>
    <row r="31" spans="1:19" ht="15.75">
      <c r="A31" s="465" t="s">
        <v>13</v>
      </c>
      <c r="B31" s="500">
        <f t="shared" si="15"/>
        <v>23</v>
      </c>
      <c r="C31" s="501">
        <v>0.5</v>
      </c>
      <c r="D31" s="502">
        <f>B31*C31</f>
        <v>11.5</v>
      </c>
      <c r="E31" s="503">
        <v>0.15</v>
      </c>
      <c r="F31" s="504">
        <f t="shared" si="20"/>
        <v>1.575</v>
      </c>
      <c r="G31" s="503">
        <v>0.3</v>
      </c>
      <c r="H31" s="504">
        <f t="shared" si="16"/>
        <v>3.4499999999999997</v>
      </c>
      <c r="I31" s="503">
        <v>0.5</v>
      </c>
      <c r="J31" s="505">
        <f t="shared" si="17"/>
        <v>1.7249999999999999</v>
      </c>
      <c r="K31" s="506">
        <v>4000</v>
      </c>
      <c r="L31" s="507">
        <f t="shared" si="21"/>
        <v>6899.9999999999991</v>
      </c>
      <c r="M31" s="498">
        <f t="shared" si="11"/>
        <v>0.125</v>
      </c>
      <c r="N31" s="498">
        <f t="shared" si="12"/>
        <v>0.11413043478260869</v>
      </c>
      <c r="O31" s="499">
        <f t="shared" si="13"/>
        <v>0.86249999999999993</v>
      </c>
      <c r="P31" s="499">
        <f t="shared" si="14"/>
        <v>0.43124999999999997</v>
      </c>
      <c r="Q31" s="498">
        <f t="shared" si="18"/>
        <v>1.5328804347826086</v>
      </c>
    </row>
    <row r="32" spans="1:19" ht="15.75">
      <c r="A32" s="465" t="s">
        <v>14</v>
      </c>
      <c r="B32" s="500">
        <f t="shared" si="15"/>
        <v>0</v>
      </c>
      <c r="C32" s="501">
        <v>0.5</v>
      </c>
      <c r="D32" s="502">
        <f t="shared" si="19"/>
        <v>0</v>
      </c>
      <c r="E32" s="503">
        <v>0.15</v>
      </c>
      <c r="F32" s="504">
        <f t="shared" si="20"/>
        <v>0.86249999999999993</v>
      </c>
      <c r="G32" s="503">
        <v>0.3</v>
      </c>
      <c r="H32" s="504">
        <f t="shared" si="16"/>
        <v>0</v>
      </c>
      <c r="I32" s="503">
        <v>0.5</v>
      </c>
      <c r="J32" s="505">
        <f t="shared" si="17"/>
        <v>0</v>
      </c>
      <c r="K32" s="506">
        <v>4000</v>
      </c>
      <c r="L32" s="507">
        <f t="shared" si="21"/>
        <v>0</v>
      </c>
      <c r="M32" s="498">
        <f t="shared" si="11"/>
        <v>0</v>
      </c>
      <c r="N32" s="498">
        <f t="shared" si="12"/>
        <v>0</v>
      </c>
      <c r="O32" s="499">
        <f t="shared" si="13"/>
        <v>0</v>
      </c>
      <c r="P32" s="499">
        <f t="shared" si="14"/>
        <v>0</v>
      </c>
      <c r="Q32" s="498"/>
    </row>
    <row r="33" spans="1:17" ht="15.75">
      <c r="A33" s="465" t="s">
        <v>15</v>
      </c>
      <c r="B33" s="500">
        <f t="shared" si="15"/>
        <v>20</v>
      </c>
      <c r="C33" s="501">
        <v>0.5</v>
      </c>
      <c r="D33" s="502">
        <f t="shared" si="19"/>
        <v>10</v>
      </c>
      <c r="E33" s="503">
        <v>0.15</v>
      </c>
      <c r="F33" s="504">
        <f t="shared" si="20"/>
        <v>0.75</v>
      </c>
      <c r="G33" s="503">
        <v>0.3</v>
      </c>
      <c r="H33" s="504">
        <f t="shared" si="16"/>
        <v>3</v>
      </c>
      <c r="I33" s="503">
        <v>0.5</v>
      </c>
      <c r="J33" s="505">
        <f t="shared" si="17"/>
        <v>1.5</v>
      </c>
      <c r="K33" s="506">
        <v>4000</v>
      </c>
      <c r="L33" s="507">
        <f t="shared" si="21"/>
        <v>6000</v>
      </c>
      <c r="M33" s="498">
        <f t="shared" si="11"/>
        <v>0.125</v>
      </c>
      <c r="N33" s="498">
        <f t="shared" si="12"/>
        <v>6.25E-2</v>
      </c>
      <c r="O33" s="499">
        <f t="shared" si="13"/>
        <v>0.75</v>
      </c>
      <c r="P33" s="499">
        <f t="shared" si="14"/>
        <v>0.375</v>
      </c>
      <c r="Q33" s="498">
        <f>M33+N33+O33+P33</f>
        <v>1.3125</v>
      </c>
    </row>
    <row r="34" spans="1:17" ht="15.75">
      <c r="A34" s="465" t="s">
        <v>16</v>
      </c>
      <c r="B34" s="500">
        <f t="shared" si="15"/>
        <v>19</v>
      </c>
      <c r="C34" s="501">
        <v>1</v>
      </c>
      <c r="D34" s="502">
        <f t="shared" si="19"/>
        <v>19</v>
      </c>
      <c r="E34" s="503">
        <v>0.15</v>
      </c>
      <c r="F34" s="504">
        <f t="shared" si="20"/>
        <v>2.1749999999999998</v>
      </c>
      <c r="G34" s="503">
        <v>0.3</v>
      </c>
      <c r="H34" s="504">
        <f t="shared" si="16"/>
        <v>5.7</v>
      </c>
      <c r="I34" s="503">
        <v>0.5</v>
      </c>
      <c r="J34" s="505">
        <f t="shared" si="17"/>
        <v>2.85</v>
      </c>
      <c r="K34" s="506">
        <v>4000</v>
      </c>
      <c r="L34" s="507">
        <f t="shared" si="21"/>
        <v>11400</v>
      </c>
      <c r="M34" s="498">
        <f t="shared" si="11"/>
        <v>0.25</v>
      </c>
      <c r="N34" s="498">
        <f t="shared" si="12"/>
        <v>0.19078947368421051</v>
      </c>
      <c r="O34" s="499">
        <f t="shared" si="13"/>
        <v>1.425</v>
      </c>
      <c r="P34" s="499">
        <f t="shared" si="14"/>
        <v>0.71250000000000002</v>
      </c>
      <c r="Q34" s="498">
        <f>M34+N34+O34+P34</f>
        <v>2.5782894736842104</v>
      </c>
    </row>
    <row r="35" spans="1:17" ht="15.75">
      <c r="A35" s="465" t="s">
        <v>17</v>
      </c>
      <c r="B35" s="500">
        <f t="shared" si="15"/>
        <v>21</v>
      </c>
      <c r="C35" s="501">
        <v>1</v>
      </c>
      <c r="D35" s="502">
        <f t="shared" si="19"/>
        <v>21</v>
      </c>
      <c r="E35" s="503">
        <v>0.15</v>
      </c>
      <c r="F35" s="504">
        <f t="shared" si="20"/>
        <v>3</v>
      </c>
      <c r="G35" s="503">
        <v>0.3</v>
      </c>
      <c r="H35" s="504">
        <f t="shared" si="16"/>
        <v>6.3</v>
      </c>
      <c r="I35" s="503">
        <v>0.5</v>
      </c>
      <c r="J35" s="505">
        <f t="shared" si="17"/>
        <v>3.15</v>
      </c>
      <c r="K35" s="506">
        <v>4000</v>
      </c>
      <c r="L35" s="507">
        <f t="shared" si="21"/>
        <v>12600</v>
      </c>
      <c r="M35" s="498">
        <f t="shared" si="11"/>
        <v>0.25</v>
      </c>
      <c r="N35" s="498">
        <f t="shared" si="12"/>
        <v>0.23809523809523808</v>
      </c>
      <c r="O35" s="499">
        <f t="shared" si="13"/>
        <v>1.575</v>
      </c>
      <c r="P35" s="499">
        <f t="shared" si="14"/>
        <v>0.78749999999999998</v>
      </c>
      <c r="Q35" s="498">
        <f>M35+N35+O35+P35</f>
        <v>2.850595238095238</v>
      </c>
    </row>
    <row r="36" spans="1:17" ht="15.75">
      <c r="A36" s="465" t="s">
        <v>18</v>
      </c>
      <c r="B36" s="508">
        <f t="shared" si="15"/>
        <v>14</v>
      </c>
      <c r="C36" s="509">
        <v>1</v>
      </c>
      <c r="D36" s="510">
        <f t="shared" si="19"/>
        <v>14</v>
      </c>
      <c r="E36" s="511">
        <v>0.15</v>
      </c>
      <c r="F36" s="512">
        <f t="shared" si="20"/>
        <v>2.625</v>
      </c>
      <c r="G36" s="511">
        <v>0.3</v>
      </c>
      <c r="H36" s="512">
        <f t="shared" si="16"/>
        <v>4.2</v>
      </c>
      <c r="I36" s="511">
        <v>0.5</v>
      </c>
      <c r="J36" s="513">
        <f t="shared" si="17"/>
        <v>2.1</v>
      </c>
      <c r="K36" s="514">
        <v>4000</v>
      </c>
      <c r="L36" s="515">
        <f t="shared" si="21"/>
        <v>8400</v>
      </c>
      <c r="M36" s="498">
        <f t="shared" si="11"/>
        <v>0.25</v>
      </c>
      <c r="N36" s="498">
        <f t="shared" si="12"/>
        <v>0.3125</v>
      </c>
      <c r="O36" s="499">
        <f t="shared" si="13"/>
        <v>1.05</v>
      </c>
      <c r="P36" s="499">
        <f t="shared" si="14"/>
        <v>0.52500000000000002</v>
      </c>
      <c r="Q36" s="498">
        <f>M36+N36+O36+P36</f>
        <v>2.1375000000000002</v>
      </c>
    </row>
    <row r="37" spans="1:17" ht="15.75">
      <c r="B37" s="469">
        <f>SUM(B25:B36)</f>
        <v>218</v>
      </c>
      <c r="D37" s="469">
        <f>SUM(D25:D36)</f>
        <v>104.5</v>
      </c>
      <c r="F37" s="516">
        <f>SUM(F25:F36)</f>
        <v>13.225</v>
      </c>
      <c r="H37" s="516">
        <f>SUM(H25:H36)</f>
        <v>31.349999999999998</v>
      </c>
      <c r="J37" s="516">
        <f>SUM(J25:J36)</f>
        <v>15.674999999999999</v>
      </c>
      <c r="K37" s="517">
        <f>AVERAGE(K25:K36)</f>
        <v>4000</v>
      </c>
      <c r="L37" s="518">
        <f>SUM(L25:L36)</f>
        <v>62700</v>
      </c>
      <c r="M37" s="518"/>
      <c r="N37" s="518"/>
      <c r="O37" s="518"/>
      <c r="P37" s="518"/>
      <c r="Q37" s="518"/>
    </row>
    <row r="38" spans="1:17">
      <c r="N38" s="465" t="s">
        <v>46</v>
      </c>
    </row>
    <row r="40" spans="1:17">
      <c r="A40" s="465" t="s">
        <v>502</v>
      </c>
      <c r="K40" s="465" t="s">
        <v>46</v>
      </c>
    </row>
    <row r="41" spans="1:17">
      <c r="A41" s="465" t="s">
        <v>503</v>
      </c>
    </row>
    <row r="42" spans="1:17">
      <c r="A42" s="465" t="s">
        <v>504</v>
      </c>
    </row>
    <row r="43" spans="1:17">
      <c r="A43" s="528" t="s">
        <v>505</v>
      </c>
    </row>
    <row r="44" spans="1:17">
      <c r="A44" s="465" t="s">
        <v>506</v>
      </c>
    </row>
  </sheetData>
  <mergeCells count="4">
    <mergeCell ref="D1:F1"/>
    <mergeCell ref="D2:F2"/>
    <mergeCell ref="H2:J2"/>
    <mergeCell ref="M6:Q6"/>
  </mergeCells>
  <conditionalFormatting sqref="S8:S19">
    <cfRule type="cellIs" dxfId="50" priority="3" stopIfTrue="1" operator="lessThan">
      <formula>8</formula>
    </cfRule>
    <cfRule type="cellIs" dxfId="49" priority="4" stopIfTrue="1" operator="greaterThan">
      <formula>8</formula>
    </cfRule>
  </conditionalFormatting>
  <conditionalFormatting sqref="S1">
    <cfRule type="cellIs" dxfId="48" priority="1" stopIfTrue="1" operator="lessThan">
      <formula>8</formula>
    </cfRule>
    <cfRule type="cellIs" dxfId="47" priority="2" stopIfTrue="1" operator="greaterThan">
      <formula>8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7">
    <tabColor rgb="FF92D050"/>
  </sheetPr>
  <dimension ref="A1:AS192"/>
  <sheetViews>
    <sheetView workbookViewId="0">
      <pane xSplit="1" ySplit="8" topLeftCell="B21" activePane="bottomRight" state="frozen"/>
      <selection pane="topRight" activeCell="B1" sqref="B1"/>
      <selection pane="bottomLeft" activeCell="A9" sqref="A9"/>
      <selection pane="bottomRight" activeCell="B12" sqref="B12:C35"/>
    </sheetView>
  </sheetViews>
  <sheetFormatPr baseColWidth="10" defaultColWidth="11.42578125" defaultRowHeight="18.75"/>
  <cols>
    <col min="1" max="1" width="9.7109375" style="34" customWidth="1"/>
    <col min="2" max="2" width="14.7109375" style="34" customWidth="1"/>
    <col min="3" max="3" width="9.85546875" style="34" bestFit="1" customWidth="1"/>
    <col min="4" max="4" width="9.42578125" style="34" bestFit="1" customWidth="1"/>
    <col min="5" max="5" width="9.5703125" style="34" bestFit="1" customWidth="1"/>
    <col min="6" max="6" width="10.7109375" style="34" customWidth="1"/>
    <col min="7" max="7" width="12.7109375" style="34" bestFit="1" customWidth="1"/>
    <col min="8" max="8" width="11.42578125" style="35"/>
    <col min="9" max="9" width="18.28515625" style="35" bestFit="1" customWidth="1"/>
    <col min="10" max="16384" width="11.42578125" style="35"/>
  </cols>
  <sheetData>
    <row r="1" spans="1:45" ht="18.75" customHeight="1">
      <c r="A1" s="68" t="s">
        <v>64</v>
      </c>
      <c r="B1" s="2"/>
    </row>
    <row r="2" spans="1:45" ht="21.75" thickBot="1">
      <c r="J2" s="1257" t="s">
        <v>121</v>
      </c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  <c r="V2" s="1258" t="s">
        <v>122</v>
      </c>
      <c r="W2" s="1258"/>
      <c r="X2" s="1258"/>
      <c r="Y2" s="1258"/>
      <c r="Z2" s="1258"/>
      <c r="AA2" s="1258"/>
      <c r="AB2" s="1258"/>
      <c r="AC2" s="1258"/>
      <c r="AD2" s="1258"/>
      <c r="AE2" s="1258"/>
      <c r="AF2" s="1258"/>
      <c r="AG2" s="1258"/>
      <c r="AH2" s="1257" t="s">
        <v>123</v>
      </c>
      <c r="AI2" s="1257"/>
      <c r="AJ2" s="1257"/>
      <c r="AK2" s="1257"/>
      <c r="AL2" s="1257"/>
      <c r="AM2" s="1257"/>
      <c r="AN2" s="1257"/>
      <c r="AO2" s="1257"/>
      <c r="AP2" s="1257"/>
      <c r="AQ2" s="1257"/>
      <c r="AR2" s="1257"/>
      <c r="AS2" s="1257"/>
    </row>
    <row r="3" spans="1:45" ht="19.5" thickBot="1">
      <c r="A3" s="36"/>
      <c r="B3" s="37" t="s">
        <v>49</v>
      </c>
      <c r="C3" s="38">
        <f ca="1">+'Inversión-Financiación'!C45</f>
        <v>0</v>
      </c>
      <c r="D3" s="36"/>
      <c r="E3" s="36"/>
      <c r="F3" s="36"/>
      <c r="G3" s="36"/>
      <c r="H3" s="36"/>
      <c r="J3" s="15">
        <f>+Cuestionario!$C$11</f>
        <v>44197</v>
      </c>
      <c r="K3" s="15">
        <f>EDATE(J3,1)</f>
        <v>44228</v>
      </c>
      <c r="L3" s="15">
        <f t="shared" ref="L3:U3" si="0">EDATE(K3,1)</f>
        <v>44256</v>
      </c>
      <c r="M3" s="15">
        <f t="shared" si="0"/>
        <v>44287</v>
      </c>
      <c r="N3" s="15">
        <f t="shared" si="0"/>
        <v>44317</v>
      </c>
      <c r="O3" s="15">
        <f t="shared" si="0"/>
        <v>44348</v>
      </c>
      <c r="P3" s="15">
        <f t="shared" si="0"/>
        <v>44378</v>
      </c>
      <c r="Q3" s="15">
        <f t="shared" si="0"/>
        <v>44409</v>
      </c>
      <c r="R3" s="15">
        <f t="shared" si="0"/>
        <v>44440</v>
      </c>
      <c r="S3" s="15">
        <f t="shared" si="0"/>
        <v>44470</v>
      </c>
      <c r="T3" s="15">
        <f t="shared" si="0"/>
        <v>44501</v>
      </c>
      <c r="U3" s="70">
        <f t="shared" si="0"/>
        <v>44531</v>
      </c>
      <c r="V3" s="72">
        <f>EDATE(U3,1)</f>
        <v>44562</v>
      </c>
      <c r="W3" s="73">
        <f t="shared" ref="W3:AS3" si="1">EDATE(V3,1)</f>
        <v>44593</v>
      </c>
      <c r="X3" s="73">
        <f t="shared" si="1"/>
        <v>44621</v>
      </c>
      <c r="Y3" s="73">
        <f t="shared" si="1"/>
        <v>44652</v>
      </c>
      <c r="Z3" s="73">
        <f t="shared" si="1"/>
        <v>44682</v>
      </c>
      <c r="AA3" s="73">
        <f t="shared" si="1"/>
        <v>44713</v>
      </c>
      <c r="AB3" s="73">
        <f t="shared" si="1"/>
        <v>44743</v>
      </c>
      <c r="AC3" s="73">
        <f t="shared" si="1"/>
        <v>44774</v>
      </c>
      <c r="AD3" s="73">
        <f t="shared" si="1"/>
        <v>44805</v>
      </c>
      <c r="AE3" s="73">
        <f t="shared" si="1"/>
        <v>44835</v>
      </c>
      <c r="AF3" s="73">
        <f t="shared" si="1"/>
        <v>44866</v>
      </c>
      <c r="AG3" s="74">
        <f t="shared" si="1"/>
        <v>44896</v>
      </c>
      <c r="AH3" s="71">
        <f t="shared" si="1"/>
        <v>44927</v>
      </c>
      <c r="AI3" s="15">
        <f t="shared" si="1"/>
        <v>44958</v>
      </c>
      <c r="AJ3" s="15">
        <f t="shared" si="1"/>
        <v>44986</v>
      </c>
      <c r="AK3" s="15">
        <f t="shared" si="1"/>
        <v>45017</v>
      </c>
      <c r="AL3" s="15">
        <f t="shared" si="1"/>
        <v>45047</v>
      </c>
      <c r="AM3" s="15">
        <f t="shared" si="1"/>
        <v>45078</v>
      </c>
      <c r="AN3" s="15">
        <f t="shared" si="1"/>
        <v>45108</v>
      </c>
      <c r="AO3" s="15">
        <f t="shared" si="1"/>
        <v>45139</v>
      </c>
      <c r="AP3" s="15">
        <f t="shared" si="1"/>
        <v>45170</v>
      </c>
      <c r="AQ3" s="15">
        <f t="shared" si="1"/>
        <v>45200</v>
      </c>
      <c r="AR3" s="15">
        <f t="shared" si="1"/>
        <v>45231</v>
      </c>
      <c r="AS3" s="15">
        <f t="shared" si="1"/>
        <v>45261</v>
      </c>
    </row>
    <row r="4" spans="1:45" ht="19.5" thickBot="1">
      <c r="A4" s="36"/>
      <c r="B4" s="39" t="s">
        <v>50</v>
      </c>
      <c r="C4" s="40">
        <f>+'Inversión-Financiación'!C46</f>
        <v>0.04</v>
      </c>
      <c r="D4" s="41">
        <f>C4/D7</f>
        <v>3.3333333333333335E-3</v>
      </c>
      <c r="E4" s="36"/>
      <c r="F4" s="36"/>
      <c r="G4" s="36"/>
      <c r="H4" s="36"/>
      <c r="I4" s="105" t="s">
        <v>219</v>
      </c>
      <c r="J4" s="106">
        <f ca="1">$C12</f>
        <v>0</v>
      </c>
      <c r="K4" s="107">
        <f ca="1">$C13</f>
        <v>0</v>
      </c>
      <c r="L4" s="107">
        <f ca="1">$C14</f>
        <v>0</v>
      </c>
      <c r="M4" s="107">
        <f ca="1">$C15</f>
        <v>0</v>
      </c>
      <c r="N4" s="107">
        <f ca="1">$C16</f>
        <v>0</v>
      </c>
      <c r="O4" s="107">
        <f ca="1">$C17</f>
        <v>0</v>
      </c>
      <c r="P4" s="107">
        <f ca="1">$C18</f>
        <v>0</v>
      </c>
      <c r="Q4" s="107">
        <f ca="1">$C19</f>
        <v>0</v>
      </c>
      <c r="R4" s="107">
        <f ca="1">$C20</f>
        <v>0</v>
      </c>
      <c r="S4" s="107">
        <f ca="1">$C21</f>
        <v>0</v>
      </c>
      <c r="T4" s="107">
        <f ca="1">$C22</f>
        <v>0</v>
      </c>
      <c r="U4" s="108">
        <f ca="1">$C23</f>
        <v>0</v>
      </c>
      <c r="V4" s="106">
        <f ca="1">$C24</f>
        <v>0</v>
      </c>
      <c r="W4" s="107">
        <f ca="1">$C25</f>
        <v>0</v>
      </c>
      <c r="X4" s="107">
        <f ca="1">$C26</f>
        <v>0</v>
      </c>
      <c r="Y4" s="107">
        <f ca="1">$C27</f>
        <v>0</v>
      </c>
      <c r="Z4" s="107">
        <f ca="1">$C28</f>
        <v>0</v>
      </c>
      <c r="AA4" s="107">
        <f ca="1">$C29</f>
        <v>0</v>
      </c>
      <c r="AB4" s="107">
        <f ca="1">$C30</f>
        <v>0</v>
      </c>
      <c r="AC4" s="107">
        <f ca="1">$C31</f>
        <v>0</v>
      </c>
      <c r="AD4" s="107">
        <f ca="1">$C32</f>
        <v>0</v>
      </c>
      <c r="AE4" s="107">
        <f ca="1">$C33</f>
        <v>0</v>
      </c>
      <c r="AF4" s="107">
        <f ca="1">$C34</f>
        <v>0</v>
      </c>
      <c r="AG4" s="108">
        <f ca="1">$C35</f>
        <v>0</v>
      </c>
      <c r="AH4" s="106">
        <f ca="1">$C36</f>
        <v>0</v>
      </c>
      <c r="AI4" s="107">
        <f ca="1">$C37</f>
        <v>0</v>
      </c>
      <c r="AJ4" s="107">
        <f ca="1">$C38</f>
        <v>0</v>
      </c>
      <c r="AK4" s="107">
        <f ca="1">$C39</f>
        <v>0</v>
      </c>
      <c r="AL4" s="107">
        <f ca="1">$C40</f>
        <v>0</v>
      </c>
      <c r="AM4" s="107">
        <f ca="1">$C41</f>
        <v>0</v>
      </c>
      <c r="AN4" s="107">
        <f ca="1">$C42</f>
        <v>0</v>
      </c>
      <c r="AO4" s="107">
        <f ca="1">$C43</f>
        <v>0</v>
      </c>
      <c r="AP4" s="107">
        <f ca="1">$C44</f>
        <v>0</v>
      </c>
      <c r="AQ4" s="107">
        <f ca="1">$C45</f>
        <v>0</v>
      </c>
      <c r="AR4" s="107">
        <f ca="1">$C46</f>
        <v>0</v>
      </c>
      <c r="AS4" s="108">
        <f ca="1">$C47</f>
        <v>0</v>
      </c>
    </row>
    <row r="5" spans="1:45">
      <c r="A5" s="36"/>
      <c r="B5" s="39" t="s">
        <v>51</v>
      </c>
      <c r="C5" s="42">
        <f>+'Inversión-Financiación'!C47</f>
        <v>4</v>
      </c>
      <c r="D5" s="43">
        <f>D$7*C5</f>
        <v>48</v>
      </c>
      <c r="E5" s="36"/>
      <c r="F5" s="36"/>
      <c r="G5" s="36"/>
      <c r="H5" s="36"/>
      <c r="I5" s="109" t="s">
        <v>220</v>
      </c>
      <c r="J5" s="110">
        <f ca="1">$E12</f>
        <v>0</v>
      </c>
      <c r="K5" s="107">
        <f ca="1">+$E13</f>
        <v>0</v>
      </c>
      <c r="L5" s="111">
        <f ca="1">$E14</f>
        <v>0</v>
      </c>
      <c r="M5" s="111">
        <f ca="1">$E15</f>
        <v>0</v>
      </c>
      <c r="N5" s="111">
        <f ca="1">$E16</f>
        <v>0</v>
      </c>
      <c r="O5" s="111">
        <f ca="1">$E17</f>
        <v>0</v>
      </c>
      <c r="P5" s="111">
        <f ca="1">$E18</f>
        <v>0</v>
      </c>
      <c r="Q5" s="111">
        <f ca="1">$E19</f>
        <v>0</v>
      </c>
      <c r="R5" s="111">
        <f ca="1">$E20</f>
        <v>0</v>
      </c>
      <c r="S5" s="111">
        <f ca="1">$E21</f>
        <v>0</v>
      </c>
      <c r="T5" s="111">
        <f ca="1">$E22</f>
        <v>0</v>
      </c>
      <c r="U5" s="112">
        <f ca="1">$E23</f>
        <v>0</v>
      </c>
      <c r="V5" s="110">
        <f ca="1">$E24</f>
        <v>0</v>
      </c>
      <c r="W5" s="111">
        <f ca="1">$E25</f>
        <v>0</v>
      </c>
      <c r="X5" s="111">
        <f ca="1">$E26</f>
        <v>0</v>
      </c>
      <c r="Y5" s="111">
        <f ca="1">$E27</f>
        <v>0</v>
      </c>
      <c r="Z5" s="111">
        <f ca="1">$E28</f>
        <v>0</v>
      </c>
      <c r="AA5" s="111">
        <f ca="1">$E29</f>
        <v>0</v>
      </c>
      <c r="AB5" s="111">
        <f ca="1">$E30</f>
        <v>0</v>
      </c>
      <c r="AC5" s="111">
        <f ca="1">$E31</f>
        <v>0</v>
      </c>
      <c r="AD5" s="111">
        <f ca="1">$E32</f>
        <v>0</v>
      </c>
      <c r="AE5" s="111">
        <f ca="1">$E33</f>
        <v>0</v>
      </c>
      <c r="AF5" s="111">
        <f ca="1">$E34</f>
        <v>0</v>
      </c>
      <c r="AG5" s="112">
        <f ca="1">$E35</f>
        <v>0</v>
      </c>
      <c r="AH5" s="110">
        <f ca="1">$E36</f>
        <v>0</v>
      </c>
      <c r="AI5" s="111">
        <f ca="1">$E37</f>
        <v>0</v>
      </c>
      <c r="AJ5" s="111">
        <f ca="1">$E38</f>
        <v>0</v>
      </c>
      <c r="AK5" s="111">
        <f ca="1">$E39</f>
        <v>0</v>
      </c>
      <c r="AL5" s="111">
        <f ca="1">$E40</f>
        <v>0</v>
      </c>
      <c r="AM5" s="111">
        <f ca="1">$E41</f>
        <v>0</v>
      </c>
      <c r="AN5" s="111">
        <f ca="1">$E42</f>
        <v>0</v>
      </c>
      <c r="AO5" s="111">
        <f ca="1">$E43</f>
        <v>0</v>
      </c>
      <c r="AP5" s="111">
        <f ca="1">$E44</f>
        <v>0</v>
      </c>
      <c r="AQ5" s="111">
        <f ca="1">$E45</f>
        <v>0</v>
      </c>
      <c r="AR5" s="111">
        <f ca="1">$E46</f>
        <v>0</v>
      </c>
      <c r="AS5" s="112">
        <f ca="1">$E47</f>
        <v>0</v>
      </c>
    </row>
    <row r="6" spans="1:45">
      <c r="A6" s="36"/>
      <c r="B6" s="39" t="s">
        <v>52</v>
      </c>
      <c r="C6" s="229">
        <f>+'Inversión-Financiación'!C48</f>
        <v>1</v>
      </c>
      <c r="D6" s="43">
        <f>C6*12</f>
        <v>12</v>
      </c>
      <c r="E6" s="36"/>
      <c r="F6" s="36"/>
      <c r="G6" s="36"/>
      <c r="H6" s="36"/>
      <c r="I6" s="109" t="s">
        <v>221</v>
      </c>
      <c r="J6" s="110">
        <f ca="1">B12</f>
        <v>0</v>
      </c>
      <c r="K6" s="111">
        <f ca="1">J6-K5</f>
        <v>0</v>
      </c>
      <c r="L6" s="111">
        <f t="shared" ref="L6:AS6" ca="1" si="2">K6-L5</f>
        <v>0</v>
      </c>
      <c r="M6" s="111">
        <f t="shared" ca="1" si="2"/>
        <v>0</v>
      </c>
      <c r="N6" s="111">
        <f t="shared" ca="1" si="2"/>
        <v>0</v>
      </c>
      <c r="O6" s="111">
        <f t="shared" ca="1" si="2"/>
        <v>0</v>
      </c>
      <c r="P6" s="111">
        <f t="shared" ca="1" si="2"/>
        <v>0</v>
      </c>
      <c r="Q6" s="111">
        <f t="shared" ca="1" si="2"/>
        <v>0</v>
      </c>
      <c r="R6" s="111">
        <f t="shared" ca="1" si="2"/>
        <v>0</v>
      </c>
      <c r="S6" s="111">
        <f t="shared" ca="1" si="2"/>
        <v>0</v>
      </c>
      <c r="T6" s="111">
        <f t="shared" ca="1" si="2"/>
        <v>0</v>
      </c>
      <c r="U6" s="112">
        <f t="shared" ca="1" si="2"/>
        <v>0</v>
      </c>
      <c r="V6" s="110">
        <f t="shared" ca="1" si="2"/>
        <v>0</v>
      </c>
      <c r="W6" s="111">
        <f t="shared" ca="1" si="2"/>
        <v>0</v>
      </c>
      <c r="X6" s="111">
        <f t="shared" ca="1" si="2"/>
        <v>0</v>
      </c>
      <c r="Y6" s="111">
        <f t="shared" ca="1" si="2"/>
        <v>0</v>
      </c>
      <c r="Z6" s="111">
        <f t="shared" ca="1" si="2"/>
        <v>0</v>
      </c>
      <c r="AA6" s="111">
        <f t="shared" ca="1" si="2"/>
        <v>0</v>
      </c>
      <c r="AB6" s="111">
        <f t="shared" ca="1" si="2"/>
        <v>0</v>
      </c>
      <c r="AC6" s="111">
        <f t="shared" ca="1" si="2"/>
        <v>0</v>
      </c>
      <c r="AD6" s="111">
        <f t="shared" ca="1" si="2"/>
        <v>0</v>
      </c>
      <c r="AE6" s="111">
        <f t="shared" ca="1" si="2"/>
        <v>0</v>
      </c>
      <c r="AF6" s="111">
        <f t="shared" ca="1" si="2"/>
        <v>0</v>
      </c>
      <c r="AG6" s="112">
        <f t="shared" ca="1" si="2"/>
        <v>0</v>
      </c>
      <c r="AH6" s="110">
        <f t="shared" ca="1" si="2"/>
        <v>0</v>
      </c>
      <c r="AI6" s="111">
        <f t="shared" ca="1" si="2"/>
        <v>0</v>
      </c>
      <c r="AJ6" s="111">
        <f t="shared" ca="1" si="2"/>
        <v>0</v>
      </c>
      <c r="AK6" s="111">
        <f t="shared" ca="1" si="2"/>
        <v>0</v>
      </c>
      <c r="AL6" s="111">
        <f t="shared" ca="1" si="2"/>
        <v>0</v>
      </c>
      <c r="AM6" s="111">
        <f t="shared" ca="1" si="2"/>
        <v>0</v>
      </c>
      <c r="AN6" s="111">
        <f t="shared" ca="1" si="2"/>
        <v>0</v>
      </c>
      <c r="AO6" s="111">
        <f t="shared" ca="1" si="2"/>
        <v>0</v>
      </c>
      <c r="AP6" s="111">
        <f t="shared" ca="1" si="2"/>
        <v>0</v>
      </c>
      <c r="AQ6" s="111">
        <f t="shared" ca="1" si="2"/>
        <v>0</v>
      </c>
      <c r="AR6" s="111">
        <f t="shared" ca="1" si="2"/>
        <v>0</v>
      </c>
      <c r="AS6" s="112">
        <f t="shared" ca="1" si="2"/>
        <v>0</v>
      </c>
    </row>
    <row r="7" spans="1:45" ht="19.5" thickBot="1">
      <c r="A7" s="36"/>
      <c r="B7" s="39" t="s">
        <v>53</v>
      </c>
      <c r="C7" s="44" t="s">
        <v>54</v>
      </c>
      <c r="D7" s="45">
        <f>IF(C7="MENSUAL",12)+IF(C7="BIMENSUAL",6)+IF(C7="TRIMESTRAL",4)+IF(C7="CUATRIMESTRAL",3)+IF(C7="SEMESTRAL",2)+IF(C7="ANUAL",1)</f>
        <v>12</v>
      </c>
      <c r="E7" s="36"/>
      <c r="F7" s="36"/>
      <c r="G7" s="36" t="s">
        <v>46</v>
      </c>
      <c r="H7" s="36" t="s">
        <v>46</v>
      </c>
      <c r="I7" s="109" t="s">
        <v>222</v>
      </c>
      <c r="J7" s="110">
        <f ca="1">$B24</f>
        <v>0</v>
      </c>
      <c r="K7" s="111">
        <f ca="1">$B25</f>
        <v>0</v>
      </c>
      <c r="L7" s="111">
        <f ca="1">$B26</f>
        <v>0</v>
      </c>
      <c r="M7" s="111">
        <f ca="1">$B27</f>
        <v>0</v>
      </c>
      <c r="N7" s="111">
        <f ca="1">$B28</f>
        <v>0</v>
      </c>
      <c r="O7" s="111">
        <f ca="1">$B29</f>
        <v>0</v>
      </c>
      <c r="P7" s="111">
        <f ca="1">$B30</f>
        <v>0</v>
      </c>
      <c r="Q7" s="111">
        <f ca="1">$B31</f>
        <v>0</v>
      </c>
      <c r="R7" s="111">
        <f ca="1">$B32</f>
        <v>0</v>
      </c>
      <c r="S7" s="111">
        <f ca="1">$B33</f>
        <v>0</v>
      </c>
      <c r="T7" s="111">
        <f ca="1">$B34</f>
        <v>0</v>
      </c>
      <c r="U7" s="112">
        <f ca="1">$B35</f>
        <v>0</v>
      </c>
      <c r="V7" s="110">
        <f ca="1">$B36</f>
        <v>0</v>
      </c>
      <c r="W7" s="111">
        <f ca="1">$B37</f>
        <v>0</v>
      </c>
      <c r="X7" s="111">
        <f ca="1">$B38</f>
        <v>0</v>
      </c>
      <c r="Y7" s="111">
        <f ca="1">$B39</f>
        <v>0</v>
      </c>
      <c r="Z7" s="111">
        <f ca="1">$B40</f>
        <v>0</v>
      </c>
      <c r="AA7" s="111">
        <f ca="1">$B41</f>
        <v>0</v>
      </c>
      <c r="AB7" s="111">
        <f ca="1">$B42</f>
        <v>0</v>
      </c>
      <c r="AC7" s="111">
        <f ca="1">$B43</f>
        <v>0</v>
      </c>
      <c r="AD7" s="111">
        <f ca="1">$B44</f>
        <v>0</v>
      </c>
      <c r="AE7" s="111">
        <f ca="1">$B45</f>
        <v>0</v>
      </c>
      <c r="AF7" s="111">
        <f ca="1">$B46</f>
        <v>0</v>
      </c>
      <c r="AG7" s="112">
        <f ca="1">$B47</f>
        <v>0</v>
      </c>
      <c r="AH7" s="110">
        <f ca="1">$B48</f>
        <v>0</v>
      </c>
      <c r="AI7" s="111">
        <f ca="1">$B49</f>
        <v>0</v>
      </c>
      <c r="AJ7" s="111">
        <f ca="1">$B50</f>
        <v>0</v>
      </c>
      <c r="AK7" s="111">
        <f ca="1">$B51</f>
        <v>0</v>
      </c>
      <c r="AL7" s="111">
        <f ca="1">$B52</f>
        <v>0</v>
      </c>
      <c r="AM7" s="111">
        <f ca="1">$B53</f>
        <v>0</v>
      </c>
      <c r="AN7" s="111">
        <f ca="1">$B54</f>
        <v>0</v>
      </c>
      <c r="AO7" s="111">
        <f ca="1">$B55</f>
        <v>0</v>
      </c>
      <c r="AP7" s="111">
        <f ca="1">$B56</f>
        <v>0</v>
      </c>
      <c r="AQ7" s="111">
        <f ca="1">$B57</f>
        <v>0</v>
      </c>
      <c r="AR7" s="111">
        <f ca="1">$B58</f>
        <v>0</v>
      </c>
      <c r="AS7" s="112">
        <f ca="1">$B59</f>
        <v>0</v>
      </c>
    </row>
    <row r="8" spans="1:45" ht="19.5" thickBot="1">
      <c r="A8" s="36"/>
      <c r="B8" s="46" t="s">
        <v>55</v>
      </c>
      <c r="C8" s="47">
        <f ca="1">IF(ISERROR(-PMT(D4,D5,C3)),0,(-PMT(D4,D5,C3)))</f>
        <v>0</v>
      </c>
      <c r="D8" s="48"/>
      <c r="E8" s="36"/>
      <c r="F8" s="36"/>
      <c r="G8" s="36"/>
      <c r="H8" s="36"/>
      <c r="I8" s="113" t="s">
        <v>223</v>
      </c>
      <c r="J8" s="114">
        <f ca="1">J6-J7</f>
        <v>0</v>
      </c>
      <c r="K8" s="115">
        <f t="shared" ref="K8:AS8" ca="1" si="3">K6-K7</f>
        <v>0</v>
      </c>
      <c r="L8" s="115">
        <f t="shared" ca="1" si="3"/>
        <v>0</v>
      </c>
      <c r="M8" s="115">
        <f t="shared" ca="1" si="3"/>
        <v>0</v>
      </c>
      <c r="N8" s="115">
        <f t="shared" ca="1" si="3"/>
        <v>0</v>
      </c>
      <c r="O8" s="115">
        <f t="shared" ca="1" si="3"/>
        <v>0</v>
      </c>
      <c r="P8" s="115">
        <f t="shared" ca="1" si="3"/>
        <v>0</v>
      </c>
      <c r="Q8" s="115">
        <f t="shared" ca="1" si="3"/>
        <v>0</v>
      </c>
      <c r="R8" s="115">
        <f t="shared" ca="1" si="3"/>
        <v>0</v>
      </c>
      <c r="S8" s="115">
        <f t="shared" ca="1" si="3"/>
        <v>0</v>
      </c>
      <c r="T8" s="115">
        <f t="shared" ca="1" si="3"/>
        <v>0</v>
      </c>
      <c r="U8" s="116">
        <f t="shared" ca="1" si="3"/>
        <v>0</v>
      </c>
      <c r="V8" s="114">
        <f t="shared" ca="1" si="3"/>
        <v>0</v>
      </c>
      <c r="W8" s="115">
        <f t="shared" ca="1" si="3"/>
        <v>0</v>
      </c>
      <c r="X8" s="115">
        <f t="shared" ca="1" si="3"/>
        <v>0</v>
      </c>
      <c r="Y8" s="115">
        <f t="shared" ca="1" si="3"/>
        <v>0</v>
      </c>
      <c r="Z8" s="115">
        <f t="shared" ca="1" si="3"/>
        <v>0</v>
      </c>
      <c r="AA8" s="115">
        <f t="shared" ca="1" si="3"/>
        <v>0</v>
      </c>
      <c r="AB8" s="115">
        <f t="shared" ca="1" si="3"/>
        <v>0</v>
      </c>
      <c r="AC8" s="115">
        <f t="shared" ca="1" si="3"/>
        <v>0</v>
      </c>
      <c r="AD8" s="115">
        <f t="shared" ca="1" si="3"/>
        <v>0</v>
      </c>
      <c r="AE8" s="115">
        <f t="shared" ca="1" si="3"/>
        <v>0</v>
      </c>
      <c r="AF8" s="115">
        <f t="shared" ca="1" si="3"/>
        <v>0</v>
      </c>
      <c r="AG8" s="116">
        <f t="shared" ca="1" si="3"/>
        <v>0</v>
      </c>
      <c r="AH8" s="114">
        <f t="shared" ca="1" si="3"/>
        <v>0</v>
      </c>
      <c r="AI8" s="115">
        <f t="shared" ca="1" si="3"/>
        <v>0</v>
      </c>
      <c r="AJ8" s="115">
        <f t="shared" ca="1" si="3"/>
        <v>0</v>
      </c>
      <c r="AK8" s="115">
        <f t="shared" ca="1" si="3"/>
        <v>0</v>
      </c>
      <c r="AL8" s="115">
        <f t="shared" ca="1" si="3"/>
        <v>0</v>
      </c>
      <c r="AM8" s="115">
        <f t="shared" ca="1" si="3"/>
        <v>0</v>
      </c>
      <c r="AN8" s="115">
        <f t="shared" ca="1" si="3"/>
        <v>0</v>
      </c>
      <c r="AO8" s="115">
        <f t="shared" ca="1" si="3"/>
        <v>0</v>
      </c>
      <c r="AP8" s="115">
        <f t="shared" ca="1" si="3"/>
        <v>0</v>
      </c>
      <c r="AQ8" s="115">
        <f t="shared" ca="1" si="3"/>
        <v>0</v>
      </c>
      <c r="AR8" s="115">
        <f t="shared" ca="1" si="3"/>
        <v>0</v>
      </c>
      <c r="AS8" s="116">
        <f t="shared" ca="1" si="3"/>
        <v>0</v>
      </c>
    </row>
    <row r="9" spans="1:45" ht="19.5" thickBot="1">
      <c r="A9" s="36"/>
      <c r="B9" s="36"/>
      <c r="C9" s="36"/>
      <c r="D9" s="36"/>
      <c r="E9" s="36"/>
      <c r="F9" s="36"/>
      <c r="G9" s="36"/>
      <c r="H9" s="36"/>
    </row>
    <row r="10" spans="1:45" ht="19.5" thickBot="1">
      <c r="A10" s="49" t="s">
        <v>62</v>
      </c>
      <c r="B10" s="50" t="s">
        <v>56</v>
      </c>
      <c r="C10" s="49" t="s">
        <v>57</v>
      </c>
      <c r="D10" s="51" t="s">
        <v>58</v>
      </c>
      <c r="E10" s="49" t="s">
        <v>59</v>
      </c>
      <c r="F10" s="51" t="s">
        <v>60</v>
      </c>
      <c r="G10" s="49" t="s">
        <v>61</v>
      </c>
      <c r="H10" s="49" t="s">
        <v>62</v>
      </c>
    </row>
    <row r="11" spans="1:45">
      <c r="A11" s="52">
        <v>0</v>
      </c>
      <c r="B11" s="53">
        <f ca="1">C3</f>
        <v>0</v>
      </c>
      <c r="C11" s="54"/>
      <c r="D11" s="55"/>
      <c r="E11" s="54"/>
      <c r="F11" s="55"/>
      <c r="G11" s="54"/>
      <c r="H11" s="52"/>
    </row>
    <row r="12" spans="1:45">
      <c r="A12" s="56">
        <f>A11+1</f>
        <v>1</v>
      </c>
      <c r="B12" s="57">
        <f t="shared" ref="B12:B75" ca="1" si="4">IF(B11&lt;1,0,B11-E12)</f>
        <v>0</v>
      </c>
      <c r="C12" s="58">
        <f ca="1">B11*$D$4</f>
        <v>0</v>
      </c>
      <c r="D12" s="59">
        <f t="shared" ref="D12:D75" ca="1" si="5">IF(B12=0,0,D11+C12)</f>
        <v>0</v>
      </c>
      <c r="E12" s="58">
        <f t="shared" ref="E12:E17" ca="1" si="6">IF(OR(C$6&gt;0,C12&lt;0.01),0,C$8-C12)</f>
        <v>0</v>
      </c>
      <c r="F12" s="59">
        <f t="shared" ref="F12:F43" ca="1" si="7">IF(D12=0,0,F11+E12)</f>
        <v>0</v>
      </c>
      <c r="G12" s="58">
        <f ca="1">C$8*H12</f>
        <v>0</v>
      </c>
      <c r="H12" s="56">
        <f ca="1">IF(E12=0,0,A12-D$6)</f>
        <v>0</v>
      </c>
      <c r="J12" s="35" t="s">
        <v>46</v>
      </c>
    </row>
    <row r="13" spans="1:45">
      <c r="A13" s="56">
        <v>2</v>
      </c>
      <c r="B13" s="57">
        <f ca="1">IF(B12&lt;1,0,B12-E13)</f>
        <v>0</v>
      </c>
      <c r="C13" s="58">
        <f ca="1">IF(+$D$7=4,0,B12*$D$4)</f>
        <v>0</v>
      </c>
      <c r="D13" s="59">
        <f t="shared" ca="1" si="5"/>
        <v>0</v>
      </c>
      <c r="E13" s="58">
        <f t="shared" ca="1" si="6"/>
        <v>0</v>
      </c>
      <c r="F13" s="59">
        <f t="shared" ca="1" si="7"/>
        <v>0</v>
      </c>
      <c r="G13" s="58">
        <f t="shared" ref="G13:G76" ca="1" si="8">C$8*H13</f>
        <v>0</v>
      </c>
      <c r="H13" s="56">
        <f t="shared" ref="H13:H76" ca="1" si="9">IF(E13=0,0,A13-D$6)</f>
        <v>0</v>
      </c>
    </row>
    <row r="14" spans="1:45">
      <c r="A14" s="56">
        <v>3</v>
      </c>
      <c r="B14" s="57">
        <f t="shared" ca="1" si="4"/>
        <v>0</v>
      </c>
      <c r="C14" s="58">
        <f ca="1">IF(+$D$7=4,0,B13*$D$4)</f>
        <v>0</v>
      </c>
      <c r="D14" s="59">
        <f t="shared" ca="1" si="5"/>
        <v>0</v>
      </c>
      <c r="E14" s="58">
        <f t="shared" ca="1" si="6"/>
        <v>0</v>
      </c>
      <c r="F14" s="59">
        <f t="shared" ca="1" si="7"/>
        <v>0</v>
      </c>
      <c r="G14" s="58">
        <f t="shared" ca="1" si="8"/>
        <v>0</v>
      </c>
      <c r="H14" s="56">
        <f t="shared" ca="1" si="9"/>
        <v>0</v>
      </c>
    </row>
    <row r="15" spans="1:45">
      <c r="A15" s="56">
        <v>4</v>
      </c>
      <c r="B15" s="57">
        <f t="shared" ca="1" si="4"/>
        <v>0</v>
      </c>
      <c r="C15" s="58">
        <f ca="1">B14*$D$4</f>
        <v>0</v>
      </c>
      <c r="D15" s="59">
        <f t="shared" ca="1" si="5"/>
        <v>0</v>
      </c>
      <c r="E15" s="58">
        <f t="shared" ca="1" si="6"/>
        <v>0</v>
      </c>
      <c r="F15" s="59">
        <f t="shared" ca="1" si="7"/>
        <v>0</v>
      </c>
      <c r="G15" s="58">
        <f t="shared" ca="1" si="8"/>
        <v>0</v>
      </c>
      <c r="H15" s="56">
        <f t="shared" ca="1" si="9"/>
        <v>0</v>
      </c>
    </row>
    <row r="16" spans="1:45">
      <c r="A16" s="56">
        <v>5</v>
      </c>
      <c r="B16" s="57">
        <f t="shared" ca="1" si="4"/>
        <v>0</v>
      </c>
      <c r="C16" s="58">
        <f ca="1">IF(+$D$7=4,0,B15*$D$4)</f>
        <v>0</v>
      </c>
      <c r="D16" s="59">
        <f t="shared" ca="1" si="5"/>
        <v>0</v>
      </c>
      <c r="E16" s="58">
        <f t="shared" ca="1" si="6"/>
        <v>0</v>
      </c>
      <c r="F16" s="59">
        <f t="shared" ca="1" si="7"/>
        <v>0</v>
      </c>
      <c r="G16" s="58">
        <f t="shared" ca="1" si="8"/>
        <v>0</v>
      </c>
      <c r="H16" s="56">
        <f t="shared" ca="1" si="9"/>
        <v>0</v>
      </c>
    </row>
    <row r="17" spans="1:8">
      <c r="A17" s="56">
        <v>6</v>
      </c>
      <c r="B17" s="57">
        <f t="shared" ca="1" si="4"/>
        <v>0</v>
      </c>
      <c r="C17" s="58">
        <f ca="1">IF(+$D$7=4,0,B16*$D$4)</f>
        <v>0</v>
      </c>
      <c r="D17" s="59">
        <f t="shared" ca="1" si="5"/>
        <v>0</v>
      </c>
      <c r="E17" s="58">
        <f t="shared" ca="1" si="6"/>
        <v>0</v>
      </c>
      <c r="F17" s="59">
        <f t="shared" ca="1" si="7"/>
        <v>0</v>
      </c>
      <c r="G17" s="58">
        <f t="shared" ca="1" si="8"/>
        <v>0</v>
      </c>
      <c r="H17" s="56">
        <f t="shared" ca="1" si="9"/>
        <v>0</v>
      </c>
    </row>
    <row r="18" spans="1:8">
      <c r="A18" s="56">
        <v>7</v>
      </c>
      <c r="B18" s="57">
        <f t="shared" ca="1" si="4"/>
        <v>0</v>
      </c>
      <c r="C18" s="58">
        <f ca="1">B17*$D$4</f>
        <v>0</v>
      </c>
      <c r="D18" s="59">
        <f t="shared" ca="1" si="5"/>
        <v>0</v>
      </c>
      <c r="E18" s="58">
        <f t="shared" ref="E18:E23" ca="1" si="10">IF(OR(C$6&gt;0.5,C18&lt;0.01),0,C$8-C18)</f>
        <v>0</v>
      </c>
      <c r="F18" s="59">
        <f t="shared" ca="1" si="7"/>
        <v>0</v>
      </c>
      <c r="G18" s="58">
        <f t="shared" ca="1" si="8"/>
        <v>0</v>
      </c>
      <c r="H18" s="56">
        <f t="shared" ca="1" si="9"/>
        <v>0</v>
      </c>
    </row>
    <row r="19" spans="1:8">
      <c r="A19" s="56">
        <v>8</v>
      </c>
      <c r="B19" s="57">
        <f t="shared" ca="1" si="4"/>
        <v>0</v>
      </c>
      <c r="C19" s="58">
        <f ca="1">IF(+$D$7=4,0,B18*$D$4)</f>
        <v>0</v>
      </c>
      <c r="D19" s="59">
        <f t="shared" ca="1" si="5"/>
        <v>0</v>
      </c>
      <c r="E19" s="58">
        <f t="shared" ca="1" si="10"/>
        <v>0</v>
      </c>
      <c r="F19" s="59">
        <f t="shared" ca="1" si="7"/>
        <v>0</v>
      </c>
      <c r="G19" s="58">
        <f t="shared" ca="1" si="8"/>
        <v>0</v>
      </c>
      <c r="H19" s="56">
        <f t="shared" ca="1" si="9"/>
        <v>0</v>
      </c>
    </row>
    <row r="20" spans="1:8">
      <c r="A20" s="56">
        <v>9</v>
      </c>
      <c r="B20" s="57">
        <f t="shared" ca="1" si="4"/>
        <v>0</v>
      </c>
      <c r="C20" s="58">
        <f ca="1">IF(+$D$7=4,0,B19*$D$4)</f>
        <v>0</v>
      </c>
      <c r="D20" s="59">
        <f t="shared" ca="1" si="5"/>
        <v>0</v>
      </c>
      <c r="E20" s="58">
        <f t="shared" ca="1" si="10"/>
        <v>0</v>
      </c>
      <c r="F20" s="59">
        <f t="shared" ca="1" si="7"/>
        <v>0</v>
      </c>
      <c r="G20" s="58">
        <f t="shared" ca="1" si="8"/>
        <v>0</v>
      </c>
      <c r="H20" s="56">
        <f t="shared" ca="1" si="9"/>
        <v>0</v>
      </c>
    </row>
    <row r="21" spans="1:8">
      <c r="A21" s="56">
        <v>10</v>
      </c>
      <c r="B21" s="57">
        <f t="shared" ca="1" si="4"/>
        <v>0</v>
      </c>
      <c r="C21" s="58">
        <f ca="1">B20*$D$4</f>
        <v>0</v>
      </c>
      <c r="D21" s="59">
        <f t="shared" ca="1" si="5"/>
        <v>0</v>
      </c>
      <c r="E21" s="58">
        <f t="shared" ca="1" si="10"/>
        <v>0</v>
      </c>
      <c r="F21" s="59">
        <f t="shared" ca="1" si="7"/>
        <v>0</v>
      </c>
      <c r="G21" s="58">
        <f t="shared" ca="1" si="8"/>
        <v>0</v>
      </c>
      <c r="H21" s="56">
        <f t="shared" ca="1" si="9"/>
        <v>0</v>
      </c>
    </row>
    <row r="22" spans="1:8">
      <c r="A22" s="56">
        <v>11</v>
      </c>
      <c r="B22" s="57">
        <f t="shared" ca="1" si="4"/>
        <v>0</v>
      </c>
      <c r="C22" s="58">
        <f ca="1">IF(+$D$7=4,0,B21*$D$4)</f>
        <v>0</v>
      </c>
      <c r="D22" s="59">
        <f t="shared" ca="1" si="5"/>
        <v>0</v>
      </c>
      <c r="E22" s="58">
        <f t="shared" ca="1" si="10"/>
        <v>0</v>
      </c>
      <c r="F22" s="59">
        <f t="shared" ca="1" si="7"/>
        <v>0</v>
      </c>
      <c r="G22" s="58">
        <f t="shared" ca="1" si="8"/>
        <v>0</v>
      </c>
      <c r="H22" s="56">
        <f t="shared" ca="1" si="9"/>
        <v>0</v>
      </c>
    </row>
    <row r="23" spans="1:8">
      <c r="A23" s="56">
        <v>12</v>
      </c>
      <c r="B23" s="57">
        <f t="shared" ca="1" si="4"/>
        <v>0</v>
      </c>
      <c r="C23" s="58">
        <f ca="1">IF(+$D$7=4,0,B22*$D$4)</f>
        <v>0</v>
      </c>
      <c r="D23" s="59">
        <f t="shared" ca="1" si="5"/>
        <v>0</v>
      </c>
      <c r="E23" s="58">
        <f t="shared" ca="1" si="10"/>
        <v>0</v>
      </c>
      <c r="F23" s="59">
        <f t="shared" ca="1" si="7"/>
        <v>0</v>
      </c>
      <c r="G23" s="58">
        <f t="shared" ca="1" si="8"/>
        <v>0</v>
      </c>
      <c r="H23" s="56">
        <f t="shared" ca="1" si="9"/>
        <v>0</v>
      </c>
    </row>
    <row r="24" spans="1:8">
      <c r="A24" s="56">
        <v>13</v>
      </c>
      <c r="B24" s="57">
        <f t="shared" ca="1" si="4"/>
        <v>0</v>
      </c>
      <c r="C24" s="58">
        <f ca="1">B23*$D$4</f>
        <v>0</v>
      </c>
      <c r="D24" s="59">
        <f t="shared" ca="1" si="5"/>
        <v>0</v>
      </c>
      <c r="E24" s="58">
        <f t="shared" ref="E24:E29" ca="1" si="11">IF(OR(C$6&gt;1,C24&lt;0.01),0,C$8-C24)</f>
        <v>0</v>
      </c>
      <c r="F24" s="59">
        <f t="shared" ca="1" si="7"/>
        <v>0</v>
      </c>
      <c r="G24" s="58">
        <f t="shared" ca="1" si="8"/>
        <v>0</v>
      </c>
      <c r="H24" s="56">
        <f t="shared" ca="1" si="9"/>
        <v>0</v>
      </c>
    </row>
    <row r="25" spans="1:8">
      <c r="A25" s="56">
        <v>14</v>
      </c>
      <c r="B25" s="57">
        <f t="shared" ca="1" si="4"/>
        <v>0</v>
      </c>
      <c r="C25" s="58">
        <f ca="1">IF(+$D$7=4,0,B24*$D$4)</f>
        <v>0</v>
      </c>
      <c r="D25" s="59">
        <f t="shared" ca="1" si="5"/>
        <v>0</v>
      </c>
      <c r="E25" s="58">
        <f t="shared" ca="1" si="11"/>
        <v>0</v>
      </c>
      <c r="F25" s="59">
        <f t="shared" ca="1" si="7"/>
        <v>0</v>
      </c>
      <c r="G25" s="58">
        <f t="shared" ca="1" si="8"/>
        <v>0</v>
      </c>
      <c r="H25" s="56">
        <f t="shared" ca="1" si="9"/>
        <v>0</v>
      </c>
    </row>
    <row r="26" spans="1:8">
      <c r="A26" s="56">
        <v>15</v>
      </c>
      <c r="B26" s="57">
        <f t="shared" ca="1" si="4"/>
        <v>0</v>
      </c>
      <c r="C26" s="58">
        <f ca="1">IF(+$D$7=4,0,B25*$D$4)</f>
        <v>0</v>
      </c>
      <c r="D26" s="59">
        <f t="shared" ca="1" si="5"/>
        <v>0</v>
      </c>
      <c r="E26" s="58">
        <f t="shared" ca="1" si="11"/>
        <v>0</v>
      </c>
      <c r="F26" s="59">
        <f t="shared" ca="1" si="7"/>
        <v>0</v>
      </c>
      <c r="G26" s="58">
        <f t="shared" ca="1" si="8"/>
        <v>0</v>
      </c>
      <c r="H26" s="56">
        <f t="shared" ca="1" si="9"/>
        <v>0</v>
      </c>
    </row>
    <row r="27" spans="1:8">
      <c r="A27" s="56">
        <v>16</v>
      </c>
      <c r="B27" s="57">
        <f t="shared" ca="1" si="4"/>
        <v>0</v>
      </c>
      <c r="C27" s="58">
        <f ca="1">B26*$D$4</f>
        <v>0</v>
      </c>
      <c r="D27" s="59">
        <f t="shared" ca="1" si="5"/>
        <v>0</v>
      </c>
      <c r="E27" s="58">
        <f t="shared" ca="1" si="11"/>
        <v>0</v>
      </c>
      <c r="F27" s="59">
        <f t="shared" ca="1" si="7"/>
        <v>0</v>
      </c>
      <c r="G27" s="58">
        <f t="shared" ca="1" si="8"/>
        <v>0</v>
      </c>
      <c r="H27" s="56">
        <f t="shared" ca="1" si="9"/>
        <v>0</v>
      </c>
    </row>
    <row r="28" spans="1:8">
      <c r="A28" s="56">
        <v>17</v>
      </c>
      <c r="B28" s="57">
        <f t="shared" ca="1" si="4"/>
        <v>0</v>
      </c>
      <c r="C28" s="58">
        <f ca="1">IF(+$D$7=4,0,B27*$D$4)</f>
        <v>0</v>
      </c>
      <c r="D28" s="59">
        <f t="shared" ca="1" si="5"/>
        <v>0</v>
      </c>
      <c r="E28" s="58">
        <f t="shared" ca="1" si="11"/>
        <v>0</v>
      </c>
      <c r="F28" s="59">
        <f t="shared" ca="1" si="7"/>
        <v>0</v>
      </c>
      <c r="G28" s="58">
        <f t="shared" ca="1" si="8"/>
        <v>0</v>
      </c>
      <c r="H28" s="56">
        <f t="shared" ca="1" si="9"/>
        <v>0</v>
      </c>
    </row>
    <row r="29" spans="1:8">
      <c r="A29" s="56">
        <v>18</v>
      </c>
      <c r="B29" s="57">
        <f t="shared" ca="1" si="4"/>
        <v>0</v>
      </c>
      <c r="C29" s="58">
        <f ca="1">IF(+$D$7=4,0,B28*$D$4)</f>
        <v>0</v>
      </c>
      <c r="D29" s="59">
        <f t="shared" ca="1" si="5"/>
        <v>0</v>
      </c>
      <c r="E29" s="58">
        <f t="shared" ca="1" si="11"/>
        <v>0</v>
      </c>
      <c r="F29" s="59">
        <f t="shared" ca="1" si="7"/>
        <v>0</v>
      </c>
      <c r="G29" s="58">
        <f t="shared" ca="1" si="8"/>
        <v>0</v>
      </c>
      <c r="H29" s="56">
        <f t="shared" ca="1" si="9"/>
        <v>0</v>
      </c>
    </row>
    <row r="30" spans="1:8">
      <c r="A30" s="56">
        <v>19</v>
      </c>
      <c r="B30" s="57">
        <f t="shared" ca="1" si="4"/>
        <v>0</v>
      </c>
      <c r="C30" s="58">
        <f ca="1">B29*$D$4</f>
        <v>0</v>
      </c>
      <c r="D30" s="59">
        <f t="shared" ca="1" si="5"/>
        <v>0</v>
      </c>
      <c r="E30" s="58">
        <f t="shared" ref="E30:E35" ca="1" si="12">IF(OR(C$6&gt;1.5,C30&lt;0.01),0,C$8-C30)</f>
        <v>0</v>
      </c>
      <c r="F30" s="59">
        <f t="shared" ca="1" si="7"/>
        <v>0</v>
      </c>
      <c r="G30" s="58">
        <f t="shared" ca="1" si="8"/>
        <v>0</v>
      </c>
      <c r="H30" s="56">
        <f t="shared" ca="1" si="9"/>
        <v>0</v>
      </c>
    </row>
    <row r="31" spans="1:8">
      <c r="A31" s="56">
        <v>20</v>
      </c>
      <c r="B31" s="57">
        <f t="shared" ca="1" si="4"/>
        <v>0</v>
      </c>
      <c r="C31" s="58">
        <f ca="1">IF(+$D$7=4,0,B30*$D$4)</f>
        <v>0</v>
      </c>
      <c r="D31" s="59">
        <f t="shared" ca="1" si="5"/>
        <v>0</v>
      </c>
      <c r="E31" s="58">
        <f t="shared" ca="1" si="12"/>
        <v>0</v>
      </c>
      <c r="F31" s="59">
        <f t="shared" ca="1" si="7"/>
        <v>0</v>
      </c>
      <c r="G31" s="58">
        <f t="shared" ca="1" si="8"/>
        <v>0</v>
      </c>
      <c r="H31" s="56">
        <f t="shared" ca="1" si="9"/>
        <v>0</v>
      </c>
    </row>
    <row r="32" spans="1:8">
      <c r="A32" s="56">
        <v>21</v>
      </c>
      <c r="B32" s="57">
        <f t="shared" ca="1" si="4"/>
        <v>0</v>
      </c>
      <c r="C32" s="58">
        <f ca="1">IF(+$D$7=4,0,B31*$D$4)</f>
        <v>0</v>
      </c>
      <c r="D32" s="59">
        <f t="shared" ca="1" si="5"/>
        <v>0</v>
      </c>
      <c r="E32" s="58">
        <f t="shared" ca="1" si="12"/>
        <v>0</v>
      </c>
      <c r="F32" s="59">
        <f t="shared" ca="1" si="7"/>
        <v>0</v>
      </c>
      <c r="G32" s="58">
        <f t="shared" ca="1" si="8"/>
        <v>0</v>
      </c>
      <c r="H32" s="56">
        <f t="shared" ca="1" si="9"/>
        <v>0</v>
      </c>
    </row>
    <row r="33" spans="1:8">
      <c r="A33" s="56">
        <v>22</v>
      </c>
      <c r="B33" s="57">
        <f t="shared" ca="1" si="4"/>
        <v>0</v>
      </c>
      <c r="C33" s="58">
        <f ca="1">B32*$D$4</f>
        <v>0</v>
      </c>
      <c r="D33" s="59">
        <f t="shared" ca="1" si="5"/>
        <v>0</v>
      </c>
      <c r="E33" s="58">
        <f t="shared" ca="1" si="12"/>
        <v>0</v>
      </c>
      <c r="F33" s="59">
        <f t="shared" ca="1" si="7"/>
        <v>0</v>
      </c>
      <c r="G33" s="58">
        <f t="shared" ca="1" si="8"/>
        <v>0</v>
      </c>
      <c r="H33" s="56">
        <f t="shared" ca="1" si="9"/>
        <v>0</v>
      </c>
    </row>
    <row r="34" spans="1:8">
      <c r="A34" s="56">
        <v>23</v>
      </c>
      <c r="B34" s="57">
        <f t="shared" ca="1" si="4"/>
        <v>0</v>
      </c>
      <c r="C34" s="58">
        <f ca="1">IF(+$D$7=4,0,B33*$D$4)</f>
        <v>0</v>
      </c>
      <c r="D34" s="59">
        <f t="shared" ca="1" si="5"/>
        <v>0</v>
      </c>
      <c r="E34" s="58">
        <f t="shared" ca="1" si="12"/>
        <v>0</v>
      </c>
      <c r="F34" s="59">
        <f t="shared" ca="1" si="7"/>
        <v>0</v>
      </c>
      <c r="G34" s="58">
        <f t="shared" ca="1" si="8"/>
        <v>0</v>
      </c>
      <c r="H34" s="56">
        <f t="shared" ca="1" si="9"/>
        <v>0</v>
      </c>
    </row>
    <row r="35" spans="1:8">
      <c r="A35" s="56">
        <v>24</v>
      </c>
      <c r="B35" s="57">
        <f t="shared" ca="1" si="4"/>
        <v>0</v>
      </c>
      <c r="C35" s="58">
        <f ca="1">IF(+$D$7=4,0,B34*$D$4)</f>
        <v>0</v>
      </c>
      <c r="D35" s="59">
        <f t="shared" ca="1" si="5"/>
        <v>0</v>
      </c>
      <c r="E35" s="58">
        <f t="shared" ca="1" si="12"/>
        <v>0</v>
      </c>
      <c r="F35" s="59">
        <f t="shared" ca="1" si="7"/>
        <v>0</v>
      </c>
      <c r="G35" s="58">
        <f t="shared" ca="1" si="8"/>
        <v>0</v>
      </c>
      <c r="H35" s="56">
        <f t="shared" ca="1" si="9"/>
        <v>0</v>
      </c>
    </row>
    <row r="36" spans="1:8">
      <c r="A36" s="56">
        <v>25</v>
      </c>
      <c r="B36" s="57">
        <f t="shared" ca="1" si="4"/>
        <v>0</v>
      </c>
      <c r="C36" s="58">
        <f ca="1">B35*$D$4</f>
        <v>0</v>
      </c>
      <c r="D36" s="59">
        <f t="shared" ca="1" si="5"/>
        <v>0</v>
      </c>
      <c r="E36" s="58">
        <f t="shared" ref="E36:E41" ca="1" si="13">IF(OR(C$6&gt;2,C36&lt;0.01),0,C$8-C36)</f>
        <v>0</v>
      </c>
      <c r="F36" s="59">
        <f t="shared" ca="1" si="7"/>
        <v>0</v>
      </c>
      <c r="G36" s="58">
        <f t="shared" ca="1" si="8"/>
        <v>0</v>
      </c>
      <c r="H36" s="56">
        <f t="shared" ca="1" si="9"/>
        <v>0</v>
      </c>
    </row>
    <row r="37" spans="1:8">
      <c r="A37" s="56">
        <v>26</v>
      </c>
      <c r="B37" s="57">
        <f t="shared" ca="1" si="4"/>
        <v>0</v>
      </c>
      <c r="C37" s="58">
        <f ca="1">IF(+$D$7=4,0,B36*$D$4)</f>
        <v>0</v>
      </c>
      <c r="D37" s="59">
        <f t="shared" ca="1" si="5"/>
        <v>0</v>
      </c>
      <c r="E37" s="58">
        <f t="shared" ca="1" si="13"/>
        <v>0</v>
      </c>
      <c r="F37" s="59">
        <f t="shared" ca="1" si="7"/>
        <v>0</v>
      </c>
      <c r="G37" s="58">
        <f t="shared" ca="1" si="8"/>
        <v>0</v>
      </c>
      <c r="H37" s="56">
        <f t="shared" ca="1" si="9"/>
        <v>0</v>
      </c>
    </row>
    <row r="38" spans="1:8">
      <c r="A38" s="56">
        <v>27</v>
      </c>
      <c r="B38" s="57">
        <f t="shared" ca="1" si="4"/>
        <v>0</v>
      </c>
      <c r="C38" s="58">
        <f ca="1">IF(+$D$7=4,0,B37*$D$4)</f>
        <v>0</v>
      </c>
      <c r="D38" s="59">
        <f t="shared" ca="1" si="5"/>
        <v>0</v>
      </c>
      <c r="E38" s="58">
        <f t="shared" ca="1" si="13"/>
        <v>0</v>
      </c>
      <c r="F38" s="59">
        <f t="shared" ca="1" si="7"/>
        <v>0</v>
      </c>
      <c r="G38" s="58">
        <f t="shared" ca="1" si="8"/>
        <v>0</v>
      </c>
      <c r="H38" s="56">
        <f t="shared" ca="1" si="9"/>
        <v>0</v>
      </c>
    </row>
    <row r="39" spans="1:8">
      <c r="A39" s="56">
        <v>28</v>
      </c>
      <c r="B39" s="57">
        <f t="shared" ca="1" si="4"/>
        <v>0</v>
      </c>
      <c r="C39" s="58">
        <f ca="1">B38*$D$4</f>
        <v>0</v>
      </c>
      <c r="D39" s="59">
        <f t="shared" ca="1" si="5"/>
        <v>0</v>
      </c>
      <c r="E39" s="58">
        <f t="shared" ca="1" si="13"/>
        <v>0</v>
      </c>
      <c r="F39" s="59">
        <f t="shared" ca="1" si="7"/>
        <v>0</v>
      </c>
      <c r="G39" s="58">
        <f t="shared" ca="1" si="8"/>
        <v>0</v>
      </c>
      <c r="H39" s="56">
        <f t="shared" ca="1" si="9"/>
        <v>0</v>
      </c>
    </row>
    <row r="40" spans="1:8">
      <c r="A40" s="56">
        <v>29</v>
      </c>
      <c r="B40" s="57">
        <f t="shared" ca="1" si="4"/>
        <v>0</v>
      </c>
      <c r="C40" s="58">
        <f ca="1">IF(+$D$7=4,0,B39*$D$4)</f>
        <v>0</v>
      </c>
      <c r="D40" s="59">
        <f t="shared" ca="1" si="5"/>
        <v>0</v>
      </c>
      <c r="E40" s="58">
        <f t="shared" ca="1" si="13"/>
        <v>0</v>
      </c>
      <c r="F40" s="59">
        <f t="shared" ca="1" si="7"/>
        <v>0</v>
      </c>
      <c r="G40" s="58">
        <f t="shared" ca="1" si="8"/>
        <v>0</v>
      </c>
      <c r="H40" s="56">
        <f t="shared" ca="1" si="9"/>
        <v>0</v>
      </c>
    </row>
    <row r="41" spans="1:8">
      <c r="A41" s="56">
        <v>30</v>
      </c>
      <c r="B41" s="57">
        <f t="shared" ca="1" si="4"/>
        <v>0</v>
      </c>
      <c r="C41" s="58">
        <f ca="1">IF(+$D$7=4,0,B40*$D$4)</f>
        <v>0</v>
      </c>
      <c r="D41" s="59">
        <f t="shared" ca="1" si="5"/>
        <v>0</v>
      </c>
      <c r="E41" s="58">
        <f t="shared" ca="1" si="13"/>
        <v>0</v>
      </c>
      <c r="F41" s="59">
        <f t="shared" ca="1" si="7"/>
        <v>0</v>
      </c>
      <c r="G41" s="58">
        <f t="shared" ca="1" si="8"/>
        <v>0</v>
      </c>
      <c r="H41" s="56">
        <f t="shared" ca="1" si="9"/>
        <v>0</v>
      </c>
    </row>
    <row r="42" spans="1:8">
      <c r="A42" s="56">
        <v>31</v>
      </c>
      <c r="B42" s="57">
        <f t="shared" ca="1" si="4"/>
        <v>0</v>
      </c>
      <c r="C42" s="58">
        <f ca="1">B41*$D$4</f>
        <v>0</v>
      </c>
      <c r="D42" s="59">
        <f t="shared" ca="1" si="5"/>
        <v>0</v>
      </c>
      <c r="E42" s="58">
        <f t="shared" ref="E42:E47" ca="1" si="14">IF(OR(C$6&gt;2.5,C42&lt;0.01),0,C$8-C42)</f>
        <v>0</v>
      </c>
      <c r="F42" s="59">
        <f t="shared" ca="1" si="7"/>
        <v>0</v>
      </c>
      <c r="G42" s="58">
        <f t="shared" ca="1" si="8"/>
        <v>0</v>
      </c>
      <c r="H42" s="56">
        <f t="shared" ca="1" si="9"/>
        <v>0</v>
      </c>
    </row>
    <row r="43" spans="1:8">
      <c r="A43" s="56">
        <v>32</v>
      </c>
      <c r="B43" s="57">
        <f t="shared" ca="1" si="4"/>
        <v>0</v>
      </c>
      <c r="C43" s="58">
        <f ca="1">IF(+$D$7=4,0,B42*$D$4)</f>
        <v>0</v>
      </c>
      <c r="D43" s="59">
        <f t="shared" ca="1" si="5"/>
        <v>0</v>
      </c>
      <c r="E43" s="58">
        <f t="shared" ca="1" si="14"/>
        <v>0</v>
      </c>
      <c r="F43" s="59">
        <f t="shared" ca="1" si="7"/>
        <v>0</v>
      </c>
      <c r="G43" s="58">
        <f t="shared" ca="1" si="8"/>
        <v>0</v>
      </c>
      <c r="H43" s="56">
        <f t="shared" ca="1" si="9"/>
        <v>0</v>
      </c>
    </row>
    <row r="44" spans="1:8">
      <c r="A44" s="56">
        <v>33</v>
      </c>
      <c r="B44" s="57">
        <f t="shared" ca="1" si="4"/>
        <v>0</v>
      </c>
      <c r="C44" s="58">
        <f ca="1">IF(+$D$7=4,0,B43*$D$4)</f>
        <v>0</v>
      </c>
      <c r="D44" s="59">
        <f t="shared" ca="1" si="5"/>
        <v>0</v>
      </c>
      <c r="E44" s="58">
        <f t="shared" ca="1" si="14"/>
        <v>0</v>
      </c>
      <c r="F44" s="59">
        <f ca="1">IF(D44=0,0,F43+E44)</f>
        <v>0</v>
      </c>
      <c r="G44" s="58">
        <f t="shared" ca="1" si="8"/>
        <v>0</v>
      </c>
      <c r="H44" s="56">
        <f t="shared" ca="1" si="9"/>
        <v>0</v>
      </c>
    </row>
    <row r="45" spans="1:8">
      <c r="A45" s="56">
        <v>34</v>
      </c>
      <c r="B45" s="57">
        <f t="shared" ca="1" si="4"/>
        <v>0</v>
      </c>
      <c r="C45" s="58">
        <f ca="1">B44*$D$4</f>
        <v>0</v>
      </c>
      <c r="D45" s="59">
        <f t="shared" ca="1" si="5"/>
        <v>0</v>
      </c>
      <c r="E45" s="58">
        <f t="shared" ca="1" si="14"/>
        <v>0</v>
      </c>
      <c r="F45" s="59">
        <f ca="1">IF(D45=0,0,F44+E45)</f>
        <v>0</v>
      </c>
      <c r="G45" s="58">
        <f t="shared" ca="1" si="8"/>
        <v>0</v>
      </c>
      <c r="H45" s="56">
        <f t="shared" ca="1" si="9"/>
        <v>0</v>
      </c>
    </row>
    <row r="46" spans="1:8">
      <c r="A46" s="56">
        <v>35</v>
      </c>
      <c r="B46" s="57">
        <f t="shared" ca="1" si="4"/>
        <v>0</v>
      </c>
      <c r="C46" s="58">
        <f ca="1">IF(+$D$7=4,0,B45*$D$4)</f>
        <v>0</v>
      </c>
      <c r="D46" s="59">
        <f t="shared" ca="1" si="5"/>
        <v>0</v>
      </c>
      <c r="E46" s="58">
        <f t="shared" ca="1" si="14"/>
        <v>0</v>
      </c>
      <c r="F46" s="59">
        <f ca="1">IF(D46=0,0,F45+E46)</f>
        <v>0</v>
      </c>
      <c r="G46" s="58">
        <f t="shared" ca="1" si="8"/>
        <v>0</v>
      </c>
      <c r="H46" s="56">
        <f t="shared" ca="1" si="9"/>
        <v>0</v>
      </c>
    </row>
    <row r="47" spans="1:8">
      <c r="A47" s="56">
        <v>36</v>
      </c>
      <c r="B47" s="57">
        <f t="shared" ca="1" si="4"/>
        <v>0</v>
      </c>
      <c r="C47" s="58">
        <f ca="1">IF(+$D$7=4,0,B46*$D$4)</f>
        <v>0</v>
      </c>
      <c r="D47" s="59">
        <f t="shared" ca="1" si="5"/>
        <v>0</v>
      </c>
      <c r="E47" s="58">
        <f t="shared" ca="1" si="14"/>
        <v>0</v>
      </c>
      <c r="F47" s="59">
        <f ca="1">IF(D47=0,0,F46+E47)</f>
        <v>0</v>
      </c>
      <c r="G47" s="58">
        <f t="shared" ca="1" si="8"/>
        <v>0</v>
      </c>
      <c r="H47" s="56">
        <f t="shared" ca="1" si="9"/>
        <v>0</v>
      </c>
    </row>
    <row r="48" spans="1:8">
      <c r="A48" s="56">
        <v>37</v>
      </c>
      <c r="B48" s="57">
        <f t="shared" ca="1" si="4"/>
        <v>0</v>
      </c>
      <c r="C48" s="58">
        <f ca="1">B47*$D$4</f>
        <v>0</v>
      </c>
      <c r="D48" s="59">
        <f t="shared" ca="1" si="5"/>
        <v>0</v>
      </c>
      <c r="E48" s="58">
        <f t="shared" ref="E48:E53" ca="1" si="15">IF(OR(C$6&gt;3,C48&lt;0.01),0,C$8-C48)</f>
        <v>0</v>
      </c>
      <c r="F48" s="59">
        <f t="shared" ref="F48:F111" ca="1" si="16">IF(D48=0,0,F47+E48)</f>
        <v>0</v>
      </c>
      <c r="G48" s="58">
        <f t="shared" ca="1" si="8"/>
        <v>0</v>
      </c>
      <c r="H48" s="56">
        <f t="shared" ca="1" si="9"/>
        <v>0</v>
      </c>
    </row>
    <row r="49" spans="1:8">
      <c r="A49" s="56">
        <v>38</v>
      </c>
      <c r="B49" s="57">
        <f t="shared" ca="1" si="4"/>
        <v>0</v>
      </c>
      <c r="C49" s="58">
        <f ca="1">IF(+$D$7=4,0,B48*$D$4)</f>
        <v>0</v>
      </c>
      <c r="D49" s="59">
        <f t="shared" ca="1" si="5"/>
        <v>0</v>
      </c>
      <c r="E49" s="58">
        <f t="shared" ca="1" si="15"/>
        <v>0</v>
      </c>
      <c r="F49" s="59">
        <f t="shared" ca="1" si="16"/>
        <v>0</v>
      </c>
      <c r="G49" s="58">
        <f t="shared" ca="1" si="8"/>
        <v>0</v>
      </c>
      <c r="H49" s="56">
        <f t="shared" ca="1" si="9"/>
        <v>0</v>
      </c>
    </row>
    <row r="50" spans="1:8">
      <c r="A50" s="56">
        <v>39</v>
      </c>
      <c r="B50" s="57">
        <f t="shared" ca="1" si="4"/>
        <v>0</v>
      </c>
      <c r="C50" s="58">
        <f ca="1">IF(+$D$7=4,0,B49*$D$4)</f>
        <v>0</v>
      </c>
      <c r="D50" s="59">
        <f t="shared" ca="1" si="5"/>
        <v>0</v>
      </c>
      <c r="E50" s="58">
        <f t="shared" ca="1" si="15"/>
        <v>0</v>
      </c>
      <c r="F50" s="59">
        <f t="shared" ca="1" si="16"/>
        <v>0</v>
      </c>
      <c r="G50" s="58">
        <f t="shared" ca="1" si="8"/>
        <v>0</v>
      </c>
      <c r="H50" s="56">
        <f t="shared" ca="1" si="9"/>
        <v>0</v>
      </c>
    </row>
    <row r="51" spans="1:8">
      <c r="A51" s="56">
        <v>40</v>
      </c>
      <c r="B51" s="57">
        <f t="shared" ca="1" si="4"/>
        <v>0</v>
      </c>
      <c r="C51" s="58">
        <f ca="1">B50*$D$4</f>
        <v>0</v>
      </c>
      <c r="D51" s="59">
        <f t="shared" ca="1" si="5"/>
        <v>0</v>
      </c>
      <c r="E51" s="58">
        <f t="shared" ca="1" si="15"/>
        <v>0</v>
      </c>
      <c r="F51" s="59">
        <f t="shared" ca="1" si="16"/>
        <v>0</v>
      </c>
      <c r="G51" s="58">
        <f t="shared" ca="1" si="8"/>
        <v>0</v>
      </c>
      <c r="H51" s="56">
        <f t="shared" ca="1" si="9"/>
        <v>0</v>
      </c>
    </row>
    <row r="52" spans="1:8">
      <c r="A52" s="56">
        <v>41</v>
      </c>
      <c r="B52" s="57">
        <f t="shared" ca="1" si="4"/>
        <v>0</v>
      </c>
      <c r="C52" s="58">
        <f ca="1">IF(+$D$7=4,0,B51*$D$4)</f>
        <v>0</v>
      </c>
      <c r="D52" s="59">
        <f t="shared" ca="1" si="5"/>
        <v>0</v>
      </c>
      <c r="E52" s="58">
        <f t="shared" ca="1" si="15"/>
        <v>0</v>
      </c>
      <c r="F52" s="59">
        <f t="shared" ca="1" si="16"/>
        <v>0</v>
      </c>
      <c r="G52" s="58">
        <f t="shared" ca="1" si="8"/>
        <v>0</v>
      </c>
      <c r="H52" s="56">
        <f t="shared" ca="1" si="9"/>
        <v>0</v>
      </c>
    </row>
    <row r="53" spans="1:8">
      <c r="A53" s="56">
        <v>42</v>
      </c>
      <c r="B53" s="57">
        <f t="shared" ca="1" si="4"/>
        <v>0</v>
      </c>
      <c r="C53" s="58">
        <f ca="1">IF(+$D$7=4,0,B52*$D$4)</f>
        <v>0</v>
      </c>
      <c r="D53" s="59">
        <f t="shared" ca="1" si="5"/>
        <v>0</v>
      </c>
      <c r="E53" s="58">
        <f t="shared" ca="1" si="15"/>
        <v>0</v>
      </c>
      <c r="F53" s="59">
        <f t="shared" ca="1" si="16"/>
        <v>0</v>
      </c>
      <c r="G53" s="58">
        <f t="shared" ca="1" si="8"/>
        <v>0</v>
      </c>
      <c r="H53" s="56">
        <f t="shared" ca="1" si="9"/>
        <v>0</v>
      </c>
    </row>
    <row r="54" spans="1:8">
      <c r="A54" s="56">
        <v>43</v>
      </c>
      <c r="B54" s="57">
        <f t="shared" ca="1" si="4"/>
        <v>0</v>
      </c>
      <c r="C54" s="58">
        <f ca="1">B53*$D$4</f>
        <v>0</v>
      </c>
      <c r="D54" s="59">
        <f t="shared" ca="1" si="5"/>
        <v>0</v>
      </c>
      <c r="E54" s="58">
        <f t="shared" ref="E54:E59" ca="1" si="17">IF(OR(C$6&gt;3.5,C54&lt;0.01),0,C$8-C54)</f>
        <v>0</v>
      </c>
      <c r="F54" s="59">
        <f t="shared" ca="1" si="16"/>
        <v>0</v>
      </c>
      <c r="G54" s="58">
        <f t="shared" ca="1" si="8"/>
        <v>0</v>
      </c>
      <c r="H54" s="56">
        <f t="shared" ca="1" si="9"/>
        <v>0</v>
      </c>
    </row>
    <row r="55" spans="1:8">
      <c r="A55" s="56">
        <v>44</v>
      </c>
      <c r="B55" s="57">
        <f t="shared" ca="1" si="4"/>
        <v>0</v>
      </c>
      <c r="C55" s="58">
        <f ca="1">IF(+$D$7=4,0,B54*$D$4)</f>
        <v>0</v>
      </c>
      <c r="D55" s="59">
        <f t="shared" ca="1" si="5"/>
        <v>0</v>
      </c>
      <c r="E55" s="58">
        <f t="shared" ca="1" si="17"/>
        <v>0</v>
      </c>
      <c r="F55" s="59">
        <f t="shared" ca="1" si="16"/>
        <v>0</v>
      </c>
      <c r="G55" s="58">
        <f t="shared" ca="1" si="8"/>
        <v>0</v>
      </c>
      <c r="H55" s="56">
        <f t="shared" ca="1" si="9"/>
        <v>0</v>
      </c>
    </row>
    <row r="56" spans="1:8">
      <c r="A56" s="56">
        <v>45</v>
      </c>
      <c r="B56" s="57">
        <f t="shared" ca="1" si="4"/>
        <v>0</v>
      </c>
      <c r="C56" s="58">
        <f ca="1">IF(+$D$7=4,0,B55*$D$4)</f>
        <v>0</v>
      </c>
      <c r="D56" s="59">
        <f t="shared" ca="1" si="5"/>
        <v>0</v>
      </c>
      <c r="E56" s="58">
        <f t="shared" ca="1" si="17"/>
        <v>0</v>
      </c>
      <c r="F56" s="59">
        <f t="shared" ca="1" si="16"/>
        <v>0</v>
      </c>
      <c r="G56" s="58">
        <f t="shared" ca="1" si="8"/>
        <v>0</v>
      </c>
      <c r="H56" s="56">
        <f t="shared" ca="1" si="9"/>
        <v>0</v>
      </c>
    </row>
    <row r="57" spans="1:8">
      <c r="A57" s="56">
        <v>46</v>
      </c>
      <c r="B57" s="57">
        <f t="shared" ca="1" si="4"/>
        <v>0</v>
      </c>
      <c r="C57" s="58">
        <f ca="1">B56*$D$4</f>
        <v>0</v>
      </c>
      <c r="D57" s="59">
        <f t="shared" ca="1" si="5"/>
        <v>0</v>
      </c>
      <c r="E57" s="58">
        <f t="shared" ca="1" si="17"/>
        <v>0</v>
      </c>
      <c r="F57" s="59">
        <f t="shared" ca="1" si="16"/>
        <v>0</v>
      </c>
      <c r="G57" s="58">
        <f t="shared" ca="1" si="8"/>
        <v>0</v>
      </c>
      <c r="H57" s="56">
        <f t="shared" ca="1" si="9"/>
        <v>0</v>
      </c>
    </row>
    <row r="58" spans="1:8">
      <c r="A58" s="56">
        <v>47</v>
      </c>
      <c r="B58" s="57">
        <f t="shared" ca="1" si="4"/>
        <v>0</v>
      </c>
      <c r="C58" s="58">
        <f t="shared" ref="C58:C122" ca="1" si="18">IF(+$D$7=4,0,B57*$D$4)</f>
        <v>0</v>
      </c>
      <c r="D58" s="59">
        <f t="shared" ca="1" si="5"/>
        <v>0</v>
      </c>
      <c r="E58" s="58">
        <f t="shared" ca="1" si="17"/>
        <v>0</v>
      </c>
      <c r="F58" s="59">
        <f t="shared" ca="1" si="16"/>
        <v>0</v>
      </c>
      <c r="G58" s="58">
        <f t="shared" ca="1" si="8"/>
        <v>0</v>
      </c>
      <c r="H58" s="56">
        <f t="shared" ca="1" si="9"/>
        <v>0</v>
      </c>
    </row>
    <row r="59" spans="1:8">
      <c r="A59" s="56">
        <v>48</v>
      </c>
      <c r="B59" s="57">
        <f t="shared" ca="1" si="4"/>
        <v>0</v>
      </c>
      <c r="C59" s="58">
        <f t="shared" ca="1" si="18"/>
        <v>0</v>
      </c>
      <c r="D59" s="59">
        <f t="shared" ca="1" si="5"/>
        <v>0</v>
      </c>
      <c r="E59" s="58">
        <f t="shared" ca="1" si="17"/>
        <v>0</v>
      </c>
      <c r="F59" s="59">
        <f t="shared" ca="1" si="16"/>
        <v>0</v>
      </c>
      <c r="G59" s="58">
        <f t="shared" ca="1" si="8"/>
        <v>0</v>
      </c>
      <c r="H59" s="56">
        <f t="shared" ca="1" si="9"/>
        <v>0</v>
      </c>
    </row>
    <row r="60" spans="1:8">
      <c r="A60" s="56">
        <v>49</v>
      </c>
      <c r="B60" s="57">
        <f t="shared" ca="1" si="4"/>
        <v>0</v>
      </c>
      <c r="C60" s="58">
        <f ca="1">B59*$D$4</f>
        <v>0</v>
      </c>
      <c r="D60" s="59">
        <f t="shared" ca="1" si="5"/>
        <v>0</v>
      </c>
      <c r="E60" s="58">
        <f t="shared" ref="E60:E65" ca="1" si="19">IF(OR(C$6&gt;4,C60&lt;0.01),0,C$8-C60)</f>
        <v>0</v>
      </c>
      <c r="F60" s="59">
        <f t="shared" ca="1" si="16"/>
        <v>0</v>
      </c>
      <c r="G60" s="58">
        <f t="shared" ca="1" si="8"/>
        <v>0</v>
      </c>
      <c r="H60" s="56">
        <f t="shared" ca="1" si="9"/>
        <v>0</v>
      </c>
    </row>
    <row r="61" spans="1:8">
      <c r="A61" s="56">
        <v>50</v>
      </c>
      <c r="B61" s="57">
        <f t="shared" ca="1" si="4"/>
        <v>0</v>
      </c>
      <c r="C61" s="58">
        <f t="shared" ca="1" si="18"/>
        <v>0</v>
      </c>
      <c r="D61" s="59">
        <f t="shared" ca="1" si="5"/>
        <v>0</v>
      </c>
      <c r="E61" s="58">
        <f t="shared" ca="1" si="19"/>
        <v>0</v>
      </c>
      <c r="F61" s="59">
        <f t="shared" ca="1" si="16"/>
        <v>0</v>
      </c>
      <c r="G61" s="58">
        <f t="shared" ca="1" si="8"/>
        <v>0</v>
      </c>
      <c r="H61" s="56">
        <f t="shared" ca="1" si="9"/>
        <v>0</v>
      </c>
    </row>
    <row r="62" spans="1:8">
      <c r="A62" s="56">
        <v>51</v>
      </c>
      <c r="B62" s="57">
        <f t="shared" ca="1" si="4"/>
        <v>0</v>
      </c>
      <c r="C62" s="58">
        <f t="shared" ca="1" si="18"/>
        <v>0</v>
      </c>
      <c r="D62" s="59">
        <f t="shared" ca="1" si="5"/>
        <v>0</v>
      </c>
      <c r="E62" s="58">
        <f t="shared" ca="1" si="19"/>
        <v>0</v>
      </c>
      <c r="F62" s="59">
        <f t="shared" ca="1" si="16"/>
        <v>0</v>
      </c>
      <c r="G62" s="58">
        <f t="shared" ca="1" si="8"/>
        <v>0</v>
      </c>
      <c r="H62" s="56">
        <f t="shared" ca="1" si="9"/>
        <v>0</v>
      </c>
    </row>
    <row r="63" spans="1:8">
      <c r="A63" s="56">
        <v>52</v>
      </c>
      <c r="B63" s="57">
        <f t="shared" ca="1" si="4"/>
        <v>0</v>
      </c>
      <c r="C63" s="58">
        <f ca="1">B62*$D$4</f>
        <v>0</v>
      </c>
      <c r="D63" s="59">
        <f t="shared" ca="1" si="5"/>
        <v>0</v>
      </c>
      <c r="E63" s="58">
        <f t="shared" ca="1" si="19"/>
        <v>0</v>
      </c>
      <c r="F63" s="59">
        <f t="shared" ca="1" si="16"/>
        <v>0</v>
      </c>
      <c r="G63" s="58">
        <f t="shared" ca="1" si="8"/>
        <v>0</v>
      </c>
      <c r="H63" s="56">
        <f t="shared" ca="1" si="9"/>
        <v>0</v>
      </c>
    </row>
    <row r="64" spans="1:8">
      <c r="A64" s="56">
        <v>53</v>
      </c>
      <c r="B64" s="57">
        <f t="shared" ca="1" si="4"/>
        <v>0</v>
      </c>
      <c r="C64" s="58">
        <f t="shared" ca="1" si="18"/>
        <v>0</v>
      </c>
      <c r="D64" s="59">
        <f t="shared" ca="1" si="5"/>
        <v>0</v>
      </c>
      <c r="E64" s="58">
        <f t="shared" ca="1" si="19"/>
        <v>0</v>
      </c>
      <c r="F64" s="59">
        <f t="shared" ca="1" si="16"/>
        <v>0</v>
      </c>
      <c r="G64" s="58">
        <f t="shared" ca="1" si="8"/>
        <v>0</v>
      </c>
      <c r="H64" s="56">
        <f t="shared" ca="1" si="9"/>
        <v>0</v>
      </c>
    </row>
    <row r="65" spans="1:8">
      <c r="A65" s="56">
        <v>54</v>
      </c>
      <c r="B65" s="57">
        <f t="shared" ca="1" si="4"/>
        <v>0</v>
      </c>
      <c r="C65" s="58">
        <f t="shared" ca="1" si="18"/>
        <v>0</v>
      </c>
      <c r="D65" s="59">
        <f t="shared" ca="1" si="5"/>
        <v>0</v>
      </c>
      <c r="E65" s="58">
        <f t="shared" ca="1" si="19"/>
        <v>0</v>
      </c>
      <c r="F65" s="59">
        <f t="shared" ca="1" si="16"/>
        <v>0</v>
      </c>
      <c r="G65" s="58">
        <f t="shared" ca="1" si="8"/>
        <v>0</v>
      </c>
      <c r="H65" s="56">
        <f t="shared" ca="1" si="9"/>
        <v>0</v>
      </c>
    </row>
    <row r="66" spans="1:8">
      <c r="A66" s="56">
        <v>55</v>
      </c>
      <c r="B66" s="57">
        <f t="shared" ca="1" si="4"/>
        <v>0</v>
      </c>
      <c r="C66" s="58">
        <f ca="1">B65*$D$4</f>
        <v>0</v>
      </c>
      <c r="D66" s="59">
        <f t="shared" ca="1" si="5"/>
        <v>0</v>
      </c>
      <c r="E66" s="58">
        <f t="shared" ref="E66:E71" ca="1" si="20">IF(OR(C$6&gt;4.5,C66&lt;0.01),0,C$8-C66)</f>
        <v>0</v>
      </c>
      <c r="F66" s="59">
        <f t="shared" ca="1" si="16"/>
        <v>0</v>
      </c>
      <c r="G66" s="58">
        <f t="shared" ca="1" si="8"/>
        <v>0</v>
      </c>
      <c r="H66" s="56">
        <f t="shared" ca="1" si="9"/>
        <v>0</v>
      </c>
    </row>
    <row r="67" spans="1:8">
      <c r="A67" s="56">
        <v>56</v>
      </c>
      <c r="B67" s="57">
        <f t="shared" ca="1" si="4"/>
        <v>0</v>
      </c>
      <c r="C67" s="58">
        <f t="shared" ca="1" si="18"/>
        <v>0</v>
      </c>
      <c r="D67" s="59">
        <f t="shared" ca="1" si="5"/>
        <v>0</v>
      </c>
      <c r="E67" s="58">
        <f t="shared" ca="1" si="20"/>
        <v>0</v>
      </c>
      <c r="F67" s="59">
        <f t="shared" ca="1" si="16"/>
        <v>0</v>
      </c>
      <c r="G67" s="58">
        <f t="shared" ca="1" si="8"/>
        <v>0</v>
      </c>
      <c r="H67" s="56">
        <f t="shared" ca="1" si="9"/>
        <v>0</v>
      </c>
    </row>
    <row r="68" spans="1:8">
      <c r="A68" s="56">
        <v>57</v>
      </c>
      <c r="B68" s="57">
        <f t="shared" ca="1" si="4"/>
        <v>0</v>
      </c>
      <c r="C68" s="58">
        <f t="shared" ca="1" si="18"/>
        <v>0</v>
      </c>
      <c r="D68" s="59">
        <f t="shared" ca="1" si="5"/>
        <v>0</v>
      </c>
      <c r="E68" s="58">
        <f t="shared" ca="1" si="20"/>
        <v>0</v>
      </c>
      <c r="F68" s="59">
        <f t="shared" ca="1" si="16"/>
        <v>0</v>
      </c>
      <c r="G68" s="58">
        <f t="shared" ca="1" si="8"/>
        <v>0</v>
      </c>
      <c r="H68" s="56">
        <f t="shared" ca="1" si="9"/>
        <v>0</v>
      </c>
    </row>
    <row r="69" spans="1:8">
      <c r="A69" s="56">
        <v>58</v>
      </c>
      <c r="B69" s="57">
        <f t="shared" ca="1" si="4"/>
        <v>0</v>
      </c>
      <c r="C69" s="58">
        <f ca="1">B68*$D$4</f>
        <v>0</v>
      </c>
      <c r="D69" s="59">
        <f t="shared" ca="1" si="5"/>
        <v>0</v>
      </c>
      <c r="E69" s="58">
        <f t="shared" ca="1" si="20"/>
        <v>0</v>
      </c>
      <c r="F69" s="59">
        <f t="shared" ca="1" si="16"/>
        <v>0</v>
      </c>
      <c r="G69" s="58">
        <f t="shared" ca="1" si="8"/>
        <v>0</v>
      </c>
      <c r="H69" s="56">
        <f t="shared" ca="1" si="9"/>
        <v>0</v>
      </c>
    </row>
    <row r="70" spans="1:8">
      <c r="A70" s="56">
        <v>59</v>
      </c>
      <c r="B70" s="57">
        <f t="shared" ca="1" si="4"/>
        <v>0</v>
      </c>
      <c r="C70" s="58">
        <f t="shared" ca="1" si="18"/>
        <v>0</v>
      </c>
      <c r="D70" s="59">
        <f t="shared" ca="1" si="5"/>
        <v>0</v>
      </c>
      <c r="E70" s="58">
        <f t="shared" ca="1" si="20"/>
        <v>0</v>
      </c>
      <c r="F70" s="59">
        <f t="shared" ca="1" si="16"/>
        <v>0</v>
      </c>
      <c r="G70" s="58">
        <f t="shared" ca="1" si="8"/>
        <v>0</v>
      </c>
      <c r="H70" s="56">
        <f t="shared" ca="1" si="9"/>
        <v>0</v>
      </c>
    </row>
    <row r="71" spans="1:8">
      <c r="A71" s="56">
        <v>60</v>
      </c>
      <c r="B71" s="57">
        <f t="shared" ca="1" si="4"/>
        <v>0</v>
      </c>
      <c r="C71" s="58">
        <f t="shared" ca="1" si="18"/>
        <v>0</v>
      </c>
      <c r="D71" s="59">
        <f t="shared" ca="1" si="5"/>
        <v>0</v>
      </c>
      <c r="E71" s="58">
        <f t="shared" ca="1" si="20"/>
        <v>0</v>
      </c>
      <c r="F71" s="59">
        <f t="shared" ca="1" si="16"/>
        <v>0</v>
      </c>
      <c r="G71" s="58">
        <f t="shared" ca="1" si="8"/>
        <v>0</v>
      </c>
      <c r="H71" s="56">
        <f t="shared" ca="1" si="9"/>
        <v>0</v>
      </c>
    </row>
    <row r="72" spans="1:8">
      <c r="A72" s="56">
        <v>61</v>
      </c>
      <c r="B72" s="57">
        <f t="shared" ca="1" si="4"/>
        <v>0</v>
      </c>
      <c r="C72" s="58">
        <f ca="1">B71*$D$4</f>
        <v>0</v>
      </c>
      <c r="D72" s="59">
        <f t="shared" ca="1" si="5"/>
        <v>0</v>
      </c>
      <c r="E72" s="58">
        <f t="shared" ref="E72:E77" ca="1" si="21">IF(OR(C$6&gt;5,C72&lt;0.01),0,C$8-C72)</f>
        <v>0</v>
      </c>
      <c r="F72" s="59">
        <f t="shared" ca="1" si="16"/>
        <v>0</v>
      </c>
      <c r="G72" s="58">
        <f t="shared" ca="1" si="8"/>
        <v>0</v>
      </c>
      <c r="H72" s="56">
        <f t="shared" ca="1" si="9"/>
        <v>0</v>
      </c>
    </row>
    <row r="73" spans="1:8">
      <c r="A73" s="56">
        <v>62</v>
      </c>
      <c r="B73" s="57">
        <f t="shared" ca="1" si="4"/>
        <v>0</v>
      </c>
      <c r="C73" s="58">
        <f t="shared" ca="1" si="18"/>
        <v>0</v>
      </c>
      <c r="D73" s="59">
        <f t="shared" ca="1" si="5"/>
        <v>0</v>
      </c>
      <c r="E73" s="58">
        <f t="shared" ca="1" si="21"/>
        <v>0</v>
      </c>
      <c r="F73" s="59">
        <f t="shared" ca="1" si="16"/>
        <v>0</v>
      </c>
      <c r="G73" s="58">
        <f t="shared" ca="1" si="8"/>
        <v>0</v>
      </c>
      <c r="H73" s="56">
        <f t="shared" ca="1" si="9"/>
        <v>0</v>
      </c>
    </row>
    <row r="74" spans="1:8">
      <c r="A74" s="56">
        <v>63</v>
      </c>
      <c r="B74" s="57">
        <f t="shared" ca="1" si="4"/>
        <v>0</v>
      </c>
      <c r="C74" s="58">
        <f t="shared" ca="1" si="18"/>
        <v>0</v>
      </c>
      <c r="D74" s="59">
        <f t="shared" ca="1" si="5"/>
        <v>0</v>
      </c>
      <c r="E74" s="58">
        <f t="shared" ca="1" si="21"/>
        <v>0</v>
      </c>
      <c r="F74" s="59">
        <f t="shared" ca="1" si="16"/>
        <v>0</v>
      </c>
      <c r="G74" s="58">
        <f t="shared" ca="1" si="8"/>
        <v>0</v>
      </c>
      <c r="H74" s="56">
        <f t="shared" ca="1" si="9"/>
        <v>0</v>
      </c>
    </row>
    <row r="75" spans="1:8">
      <c r="A75" s="56">
        <v>64</v>
      </c>
      <c r="B75" s="57">
        <f t="shared" ca="1" si="4"/>
        <v>0</v>
      </c>
      <c r="C75" s="58">
        <f ca="1">B74*$D$4</f>
        <v>0</v>
      </c>
      <c r="D75" s="59">
        <f t="shared" ca="1" si="5"/>
        <v>0</v>
      </c>
      <c r="E75" s="58">
        <f t="shared" ca="1" si="21"/>
        <v>0</v>
      </c>
      <c r="F75" s="59">
        <f t="shared" ca="1" si="16"/>
        <v>0</v>
      </c>
      <c r="G75" s="58">
        <f t="shared" ca="1" si="8"/>
        <v>0</v>
      </c>
      <c r="H75" s="56">
        <f t="shared" ca="1" si="9"/>
        <v>0</v>
      </c>
    </row>
    <row r="76" spans="1:8">
      <c r="A76" s="56">
        <v>65</v>
      </c>
      <c r="B76" s="57">
        <f t="shared" ref="B76:B139" ca="1" si="22">IF(B75&lt;1,0,B75-E76)</f>
        <v>0</v>
      </c>
      <c r="C76" s="58">
        <f t="shared" ca="1" si="18"/>
        <v>0</v>
      </c>
      <c r="D76" s="59">
        <f t="shared" ref="D76:D139" ca="1" si="23">IF(B76=0,0,D75+C76)</f>
        <v>0</v>
      </c>
      <c r="E76" s="58">
        <f t="shared" ca="1" si="21"/>
        <v>0</v>
      </c>
      <c r="F76" s="59">
        <f t="shared" ca="1" si="16"/>
        <v>0</v>
      </c>
      <c r="G76" s="58">
        <f t="shared" ca="1" si="8"/>
        <v>0</v>
      </c>
      <c r="H76" s="56">
        <f t="shared" ca="1" si="9"/>
        <v>0</v>
      </c>
    </row>
    <row r="77" spans="1:8">
      <c r="A77" s="56">
        <v>66</v>
      </c>
      <c r="B77" s="57">
        <f t="shared" ca="1" si="22"/>
        <v>0</v>
      </c>
      <c r="C77" s="58">
        <f t="shared" ca="1" si="18"/>
        <v>0</v>
      </c>
      <c r="D77" s="59">
        <f t="shared" ca="1" si="23"/>
        <v>0</v>
      </c>
      <c r="E77" s="58">
        <f t="shared" ca="1" si="21"/>
        <v>0</v>
      </c>
      <c r="F77" s="59">
        <f t="shared" ca="1" si="16"/>
        <v>0</v>
      </c>
      <c r="G77" s="58">
        <f t="shared" ref="G77:G140" ca="1" si="24">C$8*H77</f>
        <v>0</v>
      </c>
      <c r="H77" s="56">
        <f t="shared" ref="H77:H140" ca="1" si="25">IF(E77=0,0,A77-D$6)</f>
        <v>0</v>
      </c>
    </row>
    <row r="78" spans="1:8">
      <c r="A78" s="56">
        <v>67</v>
      </c>
      <c r="B78" s="57">
        <f t="shared" ca="1" si="22"/>
        <v>0</v>
      </c>
      <c r="C78" s="58">
        <f ca="1">B77*$D$4</f>
        <v>0</v>
      </c>
      <c r="D78" s="59">
        <f t="shared" ca="1" si="23"/>
        <v>0</v>
      </c>
      <c r="E78" s="58">
        <f t="shared" ref="E78:E83" ca="1" si="26">IF(OR(C$6&gt;5.5,C78&lt;0.01),0,C$8-C78)</f>
        <v>0</v>
      </c>
      <c r="F78" s="59">
        <f t="shared" ca="1" si="16"/>
        <v>0</v>
      </c>
      <c r="G78" s="58">
        <f t="shared" ca="1" si="24"/>
        <v>0</v>
      </c>
      <c r="H78" s="56">
        <f t="shared" ca="1" si="25"/>
        <v>0</v>
      </c>
    </row>
    <row r="79" spans="1:8">
      <c r="A79" s="56">
        <v>68</v>
      </c>
      <c r="B79" s="57">
        <f t="shared" ca="1" si="22"/>
        <v>0</v>
      </c>
      <c r="C79" s="58">
        <f t="shared" ca="1" si="18"/>
        <v>0</v>
      </c>
      <c r="D79" s="59">
        <f t="shared" ca="1" si="23"/>
        <v>0</v>
      </c>
      <c r="E79" s="58">
        <f t="shared" ca="1" si="26"/>
        <v>0</v>
      </c>
      <c r="F79" s="59">
        <f t="shared" ca="1" si="16"/>
        <v>0</v>
      </c>
      <c r="G79" s="58">
        <f t="shared" ca="1" si="24"/>
        <v>0</v>
      </c>
      <c r="H79" s="56">
        <f t="shared" ca="1" si="25"/>
        <v>0</v>
      </c>
    </row>
    <row r="80" spans="1:8">
      <c r="A80" s="56">
        <v>69</v>
      </c>
      <c r="B80" s="57">
        <f t="shared" ca="1" si="22"/>
        <v>0</v>
      </c>
      <c r="C80" s="58">
        <f t="shared" ca="1" si="18"/>
        <v>0</v>
      </c>
      <c r="D80" s="59">
        <f t="shared" ca="1" si="23"/>
        <v>0</v>
      </c>
      <c r="E80" s="58">
        <f t="shared" ca="1" si="26"/>
        <v>0</v>
      </c>
      <c r="F80" s="59">
        <f t="shared" ca="1" si="16"/>
        <v>0</v>
      </c>
      <c r="G80" s="58">
        <f t="shared" ca="1" si="24"/>
        <v>0</v>
      </c>
      <c r="H80" s="56">
        <f t="shared" ca="1" si="25"/>
        <v>0</v>
      </c>
    </row>
    <row r="81" spans="1:8">
      <c r="A81" s="56">
        <v>70</v>
      </c>
      <c r="B81" s="57">
        <f t="shared" ca="1" si="22"/>
        <v>0</v>
      </c>
      <c r="C81" s="58">
        <f ca="1">B80*$D$4</f>
        <v>0</v>
      </c>
      <c r="D81" s="59">
        <f t="shared" ca="1" si="23"/>
        <v>0</v>
      </c>
      <c r="E81" s="58">
        <f t="shared" ca="1" si="26"/>
        <v>0</v>
      </c>
      <c r="F81" s="59">
        <f t="shared" ca="1" si="16"/>
        <v>0</v>
      </c>
      <c r="G81" s="58">
        <f t="shared" ca="1" si="24"/>
        <v>0</v>
      </c>
      <c r="H81" s="56">
        <f t="shared" ca="1" si="25"/>
        <v>0</v>
      </c>
    </row>
    <row r="82" spans="1:8">
      <c r="A82" s="56">
        <v>71</v>
      </c>
      <c r="B82" s="57">
        <f t="shared" ca="1" si="22"/>
        <v>0</v>
      </c>
      <c r="C82" s="58">
        <f t="shared" ca="1" si="18"/>
        <v>0</v>
      </c>
      <c r="D82" s="59">
        <f t="shared" ca="1" si="23"/>
        <v>0</v>
      </c>
      <c r="E82" s="58">
        <f t="shared" ca="1" si="26"/>
        <v>0</v>
      </c>
      <c r="F82" s="59">
        <f t="shared" ca="1" si="16"/>
        <v>0</v>
      </c>
      <c r="G82" s="58">
        <f t="shared" ca="1" si="24"/>
        <v>0</v>
      </c>
      <c r="H82" s="56">
        <f t="shared" ca="1" si="25"/>
        <v>0</v>
      </c>
    </row>
    <row r="83" spans="1:8">
      <c r="A83" s="56">
        <v>72</v>
      </c>
      <c r="B83" s="57">
        <f t="shared" ca="1" si="22"/>
        <v>0</v>
      </c>
      <c r="C83" s="58">
        <f t="shared" ca="1" si="18"/>
        <v>0</v>
      </c>
      <c r="D83" s="59">
        <f t="shared" ca="1" si="23"/>
        <v>0</v>
      </c>
      <c r="E83" s="58">
        <f t="shared" ca="1" si="26"/>
        <v>0</v>
      </c>
      <c r="F83" s="59">
        <f t="shared" ca="1" si="16"/>
        <v>0</v>
      </c>
      <c r="G83" s="58">
        <f t="shared" ca="1" si="24"/>
        <v>0</v>
      </c>
      <c r="H83" s="56">
        <f t="shared" ca="1" si="25"/>
        <v>0</v>
      </c>
    </row>
    <row r="84" spans="1:8">
      <c r="A84" s="56">
        <v>73</v>
      </c>
      <c r="B84" s="57">
        <f t="shared" ca="1" si="22"/>
        <v>0</v>
      </c>
      <c r="C84" s="58">
        <f ca="1">B83*$D$4</f>
        <v>0</v>
      </c>
      <c r="D84" s="59">
        <f t="shared" ca="1" si="23"/>
        <v>0</v>
      </c>
      <c r="E84" s="58">
        <f t="shared" ref="E84:E89" ca="1" si="27">IF(OR(C$6&gt;6,C84&lt;0.01),0,C$8-C84)</f>
        <v>0</v>
      </c>
      <c r="F84" s="59">
        <f t="shared" ca="1" si="16"/>
        <v>0</v>
      </c>
      <c r="G84" s="58">
        <f t="shared" ca="1" si="24"/>
        <v>0</v>
      </c>
      <c r="H84" s="56">
        <f t="shared" ca="1" si="25"/>
        <v>0</v>
      </c>
    </row>
    <row r="85" spans="1:8">
      <c r="A85" s="56">
        <v>74</v>
      </c>
      <c r="B85" s="57">
        <f t="shared" ca="1" si="22"/>
        <v>0</v>
      </c>
      <c r="C85" s="58">
        <f t="shared" ca="1" si="18"/>
        <v>0</v>
      </c>
      <c r="D85" s="59">
        <f t="shared" ca="1" si="23"/>
        <v>0</v>
      </c>
      <c r="E85" s="58">
        <f t="shared" ca="1" si="27"/>
        <v>0</v>
      </c>
      <c r="F85" s="59">
        <f t="shared" ca="1" si="16"/>
        <v>0</v>
      </c>
      <c r="G85" s="58">
        <f t="shared" ca="1" si="24"/>
        <v>0</v>
      </c>
      <c r="H85" s="56">
        <f t="shared" ca="1" si="25"/>
        <v>0</v>
      </c>
    </row>
    <row r="86" spans="1:8">
      <c r="A86" s="56">
        <v>75</v>
      </c>
      <c r="B86" s="57">
        <f t="shared" ca="1" si="22"/>
        <v>0</v>
      </c>
      <c r="C86" s="58">
        <f t="shared" ca="1" si="18"/>
        <v>0</v>
      </c>
      <c r="D86" s="59">
        <f t="shared" ca="1" si="23"/>
        <v>0</v>
      </c>
      <c r="E86" s="58">
        <f t="shared" ca="1" si="27"/>
        <v>0</v>
      </c>
      <c r="F86" s="59">
        <f t="shared" ca="1" si="16"/>
        <v>0</v>
      </c>
      <c r="G86" s="58">
        <f t="shared" ca="1" si="24"/>
        <v>0</v>
      </c>
      <c r="H86" s="56">
        <f t="shared" ca="1" si="25"/>
        <v>0</v>
      </c>
    </row>
    <row r="87" spans="1:8">
      <c r="A87" s="56">
        <v>76</v>
      </c>
      <c r="B87" s="57">
        <f t="shared" ca="1" si="22"/>
        <v>0</v>
      </c>
      <c r="C87" s="58">
        <f t="shared" ca="1" si="18"/>
        <v>0</v>
      </c>
      <c r="D87" s="59">
        <f t="shared" ca="1" si="23"/>
        <v>0</v>
      </c>
      <c r="E87" s="58">
        <f t="shared" ca="1" si="27"/>
        <v>0</v>
      </c>
      <c r="F87" s="59">
        <f t="shared" ca="1" si="16"/>
        <v>0</v>
      </c>
      <c r="G87" s="58">
        <f t="shared" ca="1" si="24"/>
        <v>0</v>
      </c>
      <c r="H87" s="56">
        <f t="shared" ca="1" si="25"/>
        <v>0</v>
      </c>
    </row>
    <row r="88" spans="1:8">
      <c r="A88" s="56">
        <v>77</v>
      </c>
      <c r="B88" s="57">
        <f t="shared" ca="1" si="22"/>
        <v>0</v>
      </c>
      <c r="C88" s="58">
        <f ca="1">B87*$D$4</f>
        <v>0</v>
      </c>
      <c r="D88" s="59">
        <f t="shared" ca="1" si="23"/>
        <v>0</v>
      </c>
      <c r="E88" s="58">
        <f t="shared" ca="1" si="27"/>
        <v>0</v>
      </c>
      <c r="F88" s="59">
        <f t="shared" ca="1" si="16"/>
        <v>0</v>
      </c>
      <c r="G88" s="58">
        <f t="shared" ca="1" si="24"/>
        <v>0</v>
      </c>
      <c r="H88" s="56">
        <f t="shared" ca="1" si="25"/>
        <v>0</v>
      </c>
    </row>
    <row r="89" spans="1:8">
      <c r="A89" s="56">
        <v>78</v>
      </c>
      <c r="B89" s="57">
        <f t="shared" ca="1" si="22"/>
        <v>0</v>
      </c>
      <c r="C89" s="58">
        <f t="shared" ca="1" si="18"/>
        <v>0</v>
      </c>
      <c r="D89" s="59">
        <f t="shared" ca="1" si="23"/>
        <v>0</v>
      </c>
      <c r="E89" s="58">
        <f t="shared" ca="1" si="27"/>
        <v>0</v>
      </c>
      <c r="F89" s="59">
        <f t="shared" ca="1" si="16"/>
        <v>0</v>
      </c>
      <c r="G89" s="58">
        <f t="shared" ca="1" si="24"/>
        <v>0</v>
      </c>
      <c r="H89" s="56">
        <f t="shared" ca="1" si="25"/>
        <v>0</v>
      </c>
    </row>
    <row r="90" spans="1:8">
      <c r="A90" s="56">
        <v>79</v>
      </c>
      <c r="B90" s="57">
        <f t="shared" ca="1" si="22"/>
        <v>0</v>
      </c>
      <c r="C90" s="58">
        <f t="shared" ca="1" si="18"/>
        <v>0</v>
      </c>
      <c r="D90" s="59">
        <f t="shared" ca="1" si="23"/>
        <v>0</v>
      </c>
      <c r="E90" s="58">
        <f t="shared" ref="E90:E95" ca="1" si="28">IF(OR(C$6&gt;6.5,C90&lt;0.01),0,C$8-C90)</f>
        <v>0</v>
      </c>
      <c r="F90" s="59">
        <f t="shared" ca="1" si="16"/>
        <v>0</v>
      </c>
      <c r="G90" s="58">
        <f t="shared" ca="1" si="24"/>
        <v>0</v>
      </c>
      <c r="H90" s="56">
        <f t="shared" ca="1" si="25"/>
        <v>0</v>
      </c>
    </row>
    <row r="91" spans="1:8">
      <c r="A91" s="56">
        <v>80</v>
      </c>
      <c r="B91" s="57">
        <f t="shared" ca="1" si="22"/>
        <v>0</v>
      </c>
      <c r="C91" s="58">
        <f ca="1">B90*$D$4</f>
        <v>0</v>
      </c>
      <c r="D91" s="59">
        <f t="shared" ca="1" si="23"/>
        <v>0</v>
      </c>
      <c r="E91" s="58">
        <f t="shared" ca="1" si="28"/>
        <v>0</v>
      </c>
      <c r="F91" s="59">
        <f t="shared" ca="1" si="16"/>
        <v>0</v>
      </c>
      <c r="G91" s="58">
        <f t="shared" ca="1" si="24"/>
        <v>0</v>
      </c>
      <c r="H91" s="56">
        <f t="shared" ca="1" si="25"/>
        <v>0</v>
      </c>
    </row>
    <row r="92" spans="1:8">
      <c r="A92" s="56">
        <v>81</v>
      </c>
      <c r="B92" s="57">
        <f t="shared" ca="1" si="22"/>
        <v>0</v>
      </c>
      <c r="C92" s="58">
        <f t="shared" ca="1" si="18"/>
        <v>0</v>
      </c>
      <c r="D92" s="59">
        <f t="shared" ca="1" si="23"/>
        <v>0</v>
      </c>
      <c r="E92" s="58">
        <f t="shared" ca="1" si="28"/>
        <v>0</v>
      </c>
      <c r="F92" s="59">
        <f t="shared" ca="1" si="16"/>
        <v>0</v>
      </c>
      <c r="G92" s="58">
        <f t="shared" ca="1" si="24"/>
        <v>0</v>
      </c>
      <c r="H92" s="56">
        <f t="shared" ca="1" si="25"/>
        <v>0</v>
      </c>
    </row>
    <row r="93" spans="1:8">
      <c r="A93" s="56">
        <v>82</v>
      </c>
      <c r="B93" s="57">
        <f t="shared" ca="1" si="22"/>
        <v>0</v>
      </c>
      <c r="C93" s="58">
        <f t="shared" ca="1" si="18"/>
        <v>0</v>
      </c>
      <c r="D93" s="59">
        <f t="shared" ca="1" si="23"/>
        <v>0</v>
      </c>
      <c r="E93" s="58">
        <f t="shared" ca="1" si="28"/>
        <v>0</v>
      </c>
      <c r="F93" s="59">
        <f t="shared" ca="1" si="16"/>
        <v>0</v>
      </c>
      <c r="G93" s="58">
        <f t="shared" ca="1" si="24"/>
        <v>0</v>
      </c>
      <c r="H93" s="56">
        <f t="shared" ca="1" si="25"/>
        <v>0</v>
      </c>
    </row>
    <row r="94" spans="1:8">
      <c r="A94" s="56">
        <v>83</v>
      </c>
      <c r="B94" s="57">
        <f t="shared" ca="1" si="22"/>
        <v>0</v>
      </c>
      <c r="C94" s="58">
        <f ca="1">B93*$D$4</f>
        <v>0</v>
      </c>
      <c r="D94" s="59">
        <f t="shared" ca="1" si="23"/>
        <v>0</v>
      </c>
      <c r="E94" s="58">
        <f t="shared" ca="1" si="28"/>
        <v>0</v>
      </c>
      <c r="F94" s="59">
        <f t="shared" ca="1" si="16"/>
        <v>0</v>
      </c>
      <c r="G94" s="58">
        <f t="shared" ca="1" si="24"/>
        <v>0</v>
      </c>
      <c r="H94" s="56">
        <f t="shared" ca="1" si="25"/>
        <v>0</v>
      </c>
    </row>
    <row r="95" spans="1:8">
      <c r="A95" s="56">
        <v>84</v>
      </c>
      <c r="B95" s="57">
        <f t="shared" ca="1" si="22"/>
        <v>0</v>
      </c>
      <c r="C95" s="58">
        <f t="shared" ca="1" si="18"/>
        <v>0</v>
      </c>
      <c r="D95" s="59">
        <f t="shared" ca="1" si="23"/>
        <v>0</v>
      </c>
      <c r="E95" s="58">
        <f t="shared" ca="1" si="28"/>
        <v>0</v>
      </c>
      <c r="F95" s="59">
        <f t="shared" ca="1" si="16"/>
        <v>0</v>
      </c>
      <c r="G95" s="58">
        <f t="shared" ca="1" si="24"/>
        <v>0</v>
      </c>
      <c r="H95" s="56">
        <f t="shared" ca="1" si="25"/>
        <v>0</v>
      </c>
    </row>
    <row r="96" spans="1:8">
      <c r="A96" s="56">
        <v>85</v>
      </c>
      <c r="B96" s="57">
        <f t="shared" ca="1" si="22"/>
        <v>0</v>
      </c>
      <c r="C96" s="58">
        <f t="shared" ca="1" si="18"/>
        <v>0</v>
      </c>
      <c r="D96" s="59">
        <f t="shared" ca="1" si="23"/>
        <v>0</v>
      </c>
      <c r="E96" s="58">
        <f t="shared" ref="E96:E101" ca="1" si="29">IF(OR(C$6&gt;7,C96&lt;0.01),0,C$8-C96)</f>
        <v>0</v>
      </c>
      <c r="F96" s="59">
        <f t="shared" ca="1" si="16"/>
        <v>0</v>
      </c>
      <c r="G96" s="58">
        <f t="shared" ca="1" si="24"/>
        <v>0</v>
      </c>
      <c r="H96" s="56">
        <f t="shared" ca="1" si="25"/>
        <v>0</v>
      </c>
    </row>
    <row r="97" spans="1:8">
      <c r="A97" s="56">
        <v>86</v>
      </c>
      <c r="B97" s="57">
        <f t="shared" ca="1" si="22"/>
        <v>0</v>
      </c>
      <c r="C97" s="58">
        <f ca="1">B96*$D$4</f>
        <v>0</v>
      </c>
      <c r="D97" s="59">
        <f t="shared" ca="1" si="23"/>
        <v>0</v>
      </c>
      <c r="E97" s="58">
        <f t="shared" ca="1" si="29"/>
        <v>0</v>
      </c>
      <c r="F97" s="59">
        <f t="shared" ca="1" si="16"/>
        <v>0</v>
      </c>
      <c r="G97" s="58">
        <f t="shared" ca="1" si="24"/>
        <v>0</v>
      </c>
      <c r="H97" s="56">
        <f t="shared" ca="1" si="25"/>
        <v>0</v>
      </c>
    </row>
    <row r="98" spans="1:8">
      <c r="A98" s="56">
        <v>87</v>
      </c>
      <c r="B98" s="57">
        <f t="shared" ca="1" si="22"/>
        <v>0</v>
      </c>
      <c r="C98" s="58">
        <f t="shared" ca="1" si="18"/>
        <v>0</v>
      </c>
      <c r="D98" s="59">
        <f t="shared" ca="1" si="23"/>
        <v>0</v>
      </c>
      <c r="E98" s="58">
        <f t="shared" ca="1" si="29"/>
        <v>0</v>
      </c>
      <c r="F98" s="59">
        <f t="shared" ca="1" si="16"/>
        <v>0</v>
      </c>
      <c r="G98" s="58">
        <f t="shared" ca="1" si="24"/>
        <v>0</v>
      </c>
      <c r="H98" s="56">
        <f t="shared" ca="1" si="25"/>
        <v>0</v>
      </c>
    </row>
    <row r="99" spans="1:8">
      <c r="A99" s="56">
        <v>88</v>
      </c>
      <c r="B99" s="57">
        <f t="shared" ca="1" si="22"/>
        <v>0</v>
      </c>
      <c r="C99" s="58">
        <f t="shared" ca="1" si="18"/>
        <v>0</v>
      </c>
      <c r="D99" s="59">
        <f t="shared" ca="1" si="23"/>
        <v>0</v>
      </c>
      <c r="E99" s="58">
        <f t="shared" ca="1" si="29"/>
        <v>0</v>
      </c>
      <c r="F99" s="59">
        <f t="shared" ca="1" si="16"/>
        <v>0</v>
      </c>
      <c r="G99" s="58">
        <f t="shared" ca="1" si="24"/>
        <v>0</v>
      </c>
      <c r="H99" s="56">
        <f t="shared" ca="1" si="25"/>
        <v>0</v>
      </c>
    </row>
    <row r="100" spans="1:8">
      <c r="A100" s="56">
        <v>89</v>
      </c>
      <c r="B100" s="57">
        <f t="shared" ca="1" si="22"/>
        <v>0</v>
      </c>
      <c r="C100" s="58">
        <f ca="1">B99*$D$4</f>
        <v>0</v>
      </c>
      <c r="D100" s="59">
        <f t="shared" ca="1" si="23"/>
        <v>0</v>
      </c>
      <c r="E100" s="58">
        <f t="shared" ca="1" si="29"/>
        <v>0</v>
      </c>
      <c r="F100" s="59">
        <f t="shared" ca="1" si="16"/>
        <v>0</v>
      </c>
      <c r="G100" s="58">
        <f t="shared" ca="1" si="24"/>
        <v>0</v>
      </c>
      <c r="H100" s="56">
        <f t="shared" ca="1" si="25"/>
        <v>0</v>
      </c>
    </row>
    <row r="101" spans="1:8">
      <c r="A101" s="56">
        <v>90</v>
      </c>
      <c r="B101" s="57">
        <f t="shared" ca="1" si="22"/>
        <v>0</v>
      </c>
      <c r="C101" s="58">
        <f t="shared" ca="1" si="18"/>
        <v>0</v>
      </c>
      <c r="D101" s="59">
        <f t="shared" ca="1" si="23"/>
        <v>0</v>
      </c>
      <c r="E101" s="58">
        <f t="shared" ca="1" si="29"/>
        <v>0</v>
      </c>
      <c r="F101" s="59">
        <f t="shared" ca="1" si="16"/>
        <v>0</v>
      </c>
      <c r="G101" s="58">
        <f t="shared" ca="1" si="24"/>
        <v>0</v>
      </c>
      <c r="H101" s="56">
        <f t="shared" ca="1" si="25"/>
        <v>0</v>
      </c>
    </row>
    <row r="102" spans="1:8">
      <c r="A102" s="56">
        <v>91</v>
      </c>
      <c r="B102" s="57">
        <f t="shared" ca="1" si="22"/>
        <v>0</v>
      </c>
      <c r="C102" s="58">
        <f t="shared" ca="1" si="18"/>
        <v>0</v>
      </c>
      <c r="D102" s="59">
        <f t="shared" ca="1" si="23"/>
        <v>0</v>
      </c>
      <c r="E102" s="58">
        <f t="shared" ref="E102:E107" ca="1" si="30">IF(OR(C$6&gt;7.5,C102&lt;0.01),0,C$8-C102)</f>
        <v>0</v>
      </c>
      <c r="F102" s="59">
        <f t="shared" ca="1" si="16"/>
        <v>0</v>
      </c>
      <c r="G102" s="58">
        <f t="shared" ca="1" si="24"/>
        <v>0</v>
      </c>
      <c r="H102" s="56">
        <f t="shared" ca="1" si="25"/>
        <v>0</v>
      </c>
    </row>
    <row r="103" spans="1:8">
      <c r="A103" s="56">
        <v>92</v>
      </c>
      <c r="B103" s="57">
        <f t="shared" ca="1" si="22"/>
        <v>0</v>
      </c>
      <c r="C103" s="58">
        <f ca="1">B102*$D$4</f>
        <v>0</v>
      </c>
      <c r="D103" s="59">
        <f t="shared" ca="1" si="23"/>
        <v>0</v>
      </c>
      <c r="E103" s="58">
        <f t="shared" ca="1" si="30"/>
        <v>0</v>
      </c>
      <c r="F103" s="59">
        <f t="shared" ca="1" si="16"/>
        <v>0</v>
      </c>
      <c r="G103" s="58">
        <f t="shared" ca="1" si="24"/>
        <v>0</v>
      </c>
      <c r="H103" s="56">
        <f t="shared" ca="1" si="25"/>
        <v>0</v>
      </c>
    </row>
    <row r="104" spans="1:8">
      <c r="A104" s="56">
        <v>93</v>
      </c>
      <c r="B104" s="57">
        <f t="shared" ca="1" si="22"/>
        <v>0</v>
      </c>
      <c r="C104" s="58">
        <f t="shared" ca="1" si="18"/>
        <v>0</v>
      </c>
      <c r="D104" s="59">
        <f t="shared" ca="1" si="23"/>
        <v>0</v>
      </c>
      <c r="E104" s="58">
        <f t="shared" ca="1" si="30"/>
        <v>0</v>
      </c>
      <c r="F104" s="59">
        <f t="shared" ca="1" si="16"/>
        <v>0</v>
      </c>
      <c r="G104" s="58">
        <f t="shared" ca="1" si="24"/>
        <v>0</v>
      </c>
      <c r="H104" s="56">
        <f t="shared" ca="1" si="25"/>
        <v>0</v>
      </c>
    </row>
    <row r="105" spans="1:8">
      <c r="A105" s="56">
        <v>94</v>
      </c>
      <c r="B105" s="57">
        <f t="shared" ca="1" si="22"/>
        <v>0</v>
      </c>
      <c r="C105" s="58">
        <f t="shared" ca="1" si="18"/>
        <v>0</v>
      </c>
      <c r="D105" s="59">
        <f t="shared" ca="1" si="23"/>
        <v>0</v>
      </c>
      <c r="E105" s="58">
        <f t="shared" ca="1" si="30"/>
        <v>0</v>
      </c>
      <c r="F105" s="59">
        <f t="shared" ca="1" si="16"/>
        <v>0</v>
      </c>
      <c r="G105" s="58">
        <f t="shared" ca="1" si="24"/>
        <v>0</v>
      </c>
      <c r="H105" s="56">
        <f t="shared" ca="1" si="25"/>
        <v>0</v>
      </c>
    </row>
    <row r="106" spans="1:8">
      <c r="A106" s="56">
        <v>95</v>
      </c>
      <c r="B106" s="57">
        <f t="shared" ca="1" si="22"/>
        <v>0</v>
      </c>
      <c r="C106" s="58">
        <f ca="1">B105*$D$4</f>
        <v>0</v>
      </c>
      <c r="D106" s="59">
        <f t="shared" ca="1" si="23"/>
        <v>0</v>
      </c>
      <c r="E106" s="58">
        <f t="shared" ca="1" si="30"/>
        <v>0</v>
      </c>
      <c r="F106" s="59">
        <f t="shared" ca="1" si="16"/>
        <v>0</v>
      </c>
      <c r="G106" s="58">
        <f t="shared" ca="1" si="24"/>
        <v>0</v>
      </c>
      <c r="H106" s="56">
        <f t="shared" ca="1" si="25"/>
        <v>0</v>
      </c>
    </row>
    <row r="107" spans="1:8">
      <c r="A107" s="56">
        <v>96</v>
      </c>
      <c r="B107" s="57">
        <f t="shared" ca="1" si="22"/>
        <v>0</v>
      </c>
      <c r="C107" s="58">
        <f t="shared" ca="1" si="18"/>
        <v>0</v>
      </c>
      <c r="D107" s="59">
        <f t="shared" ca="1" si="23"/>
        <v>0</v>
      </c>
      <c r="E107" s="58">
        <f t="shared" ca="1" si="30"/>
        <v>0</v>
      </c>
      <c r="F107" s="59">
        <f t="shared" ca="1" si="16"/>
        <v>0</v>
      </c>
      <c r="G107" s="58">
        <f t="shared" ca="1" si="24"/>
        <v>0</v>
      </c>
      <c r="H107" s="56">
        <f t="shared" ca="1" si="25"/>
        <v>0</v>
      </c>
    </row>
    <row r="108" spans="1:8">
      <c r="A108" s="56">
        <v>97</v>
      </c>
      <c r="B108" s="57">
        <f t="shared" ca="1" si="22"/>
        <v>0</v>
      </c>
      <c r="C108" s="58">
        <f t="shared" ca="1" si="18"/>
        <v>0</v>
      </c>
      <c r="D108" s="59">
        <f t="shared" ca="1" si="23"/>
        <v>0</v>
      </c>
      <c r="E108" s="58">
        <f t="shared" ref="E108:E113" ca="1" si="31">IF(OR(C$6&gt;8,C108&lt;0.01),0,C$8-C108)</f>
        <v>0</v>
      </c>
      <c r="F108" s="59">
        <f t="shared" ca="1" si="16"/>
        <v>0</v>
      </c>
      <c r="G108" s="58">
        <f t="shared" ca="1" si="24"/>
        <v>0</v>
      </c>
      <c r="H108" s="56">
        <f t="shared" ca="1" si="25"/>
        <v>0</v>
      </c>
    </row>
    <row r="109" spans="1:8">
      <c r="A109" s="56">
        <v>98</v>
      </c>
      <c r="B109" s="57">
        <f t="shared" ca="1" si="22"/>
        <v>0</v>
      </c>
      <c r="C109" s="58">
        <f ca="1">B108*$D$4</f>
        <v>0</v>
      </c>
      <c r="D109" s="59">
        <f t="shared" ca="1" si="23"/>
        <v>0</v>
      </c>
      <c r="E109" s="58">
        <f t="shared" ca="1" si="31"/>
        <v>0</v>
      </c>
      <c r="F109" s="59">
        <f t="shared" ca="1" si="16"/>
        <v>0</v>
      </c>
      <c r="G109" s="58">
        <f t="shared" ca="1" si="24"/>
        <v>0</v>
      </c>
      <c r="H109" s="56">
        <f t="shared" ca="1" si="25"/>
        <v>0</v>
      </c>
    </row>
    <row r="110" spans="1:8">
      <c r="A110" s="56">
        <v>99</v>
      </c>
      <c r="B110" s="57">
        <f t="shared" ca="1" si="22"/>
        <v>0</v>
      </c>
      <c r="C110" s="58">
        <f t="shared" ca="1" si="18"/>
        <v>0</v>
      </c>
      <c r="D110" s="59">
        <f t="shared" ca="1" si="23"/>
        <v>0</v>
      </c>
      <c r="E110" s="58">
        <f t="shared" ca="1" si="31"/>
        <v>0</v>
      </c>
      <c r="F110" s="59">
        <f t="shared" ca="1" si="16"/>
        <v>0</v>
      </c>
      <c r="G110" s="58">
        <f t="shared" ca="1" si="24"/>
        <v>0</v>
      </c>
      <c r="H110" s="56">
        <f t="shared" ca="1" si="25"/>
        <v>0</v>
      </c>
    </row>
    <row r="111" spans="1:8">
      <c r="A111" s="56">
        <v>100</v>
      </c>
      <c r="B111" s="57">
        <f t="shared" ca="1" si="22"/>
        <v>0</v>
      </c>
      <c r="C111" s="58">
        <f t="shared" ca="1" si="18"/>
        <v>0</v>
      </c>
      <c r="D111" s="59">
        <f t="shared" ca="1" si="23"/>
        <v>0</v>
      </c>
      <c r="E111" s="58">
        <f t="shared" ca="1" si="31"/>
        <v>0</v>
      </c>
      <c r="F111" s="59">
        <f t="shared" ca="1" si="16"/>
        <v>0</v>
      </c>
      <c r="G111" s="58">
        <f t="shared" ca="1" si="24"/>
        <v>0</v>
      </c>
      <c r="H111" s="56">
        <f t="shared" ca="1" si="25"/>
        <v>0</v>
      </c>
    </row>
    <row r="112" spans="1:8">
      <c r="A112" s="56">
        <v>101</v>
      </c>
      <c r="B112" s="57">
        <f t="shared" ca="1" si="22"/>
        <v>0</v>
      </c>
      <c r="C112" s="58">
        <f ca="1">B111*$D$4</f>
        <v>0</v>
      </c>
      <c r="D112" s="59">
        <f t="shared" ca="1" si="23"/>
        <v>0</v>
      </c>
      <c r="E112" s="58">
        <f t="shared" ca="1" si="31"/>
        <v>0</v>
      </c>
      <c r="F112" s="59">
        <f t="shared" ref="F112:F175" ca="1" si="32">IF(D112=0,0,F111+E112)</f>
        <v>0</v>
      </c>
      <c r="G112" s="58">
        <f t="shared" ca="1" si="24"/>
        <v>0</v>
      </c>
      <c r="H112" s="56">
        <f t="shared" ca="1" si="25"/>
        <v>0</v>
      </c>
    </row>
    <row r="113" spans="1:8">
      <c r="A113" s="56">
        <v>102</v>
      </c>
      <c r="B113" s="57">
        <f t="shared" ca="1" si="22"/>
        <v>0</v>
      </c>
      <c r="C113" s="58">
        <f t="shared" ca="1" si="18"/>
        <v>0</v>
      </c>
      <c r="D113" s="59">
        <f t="shared" ca="1" si="23"/>
        <v>0</v>
      </c>
      <c r="E113" s="58">
        <f t="shared" ca="1" si="31"/>
        <v>0</v>
      </c>
      <c r="F113" s="59">
        <f t="shared" ca="1" si="32"/>
        <v>0</v>
      </c>
      <c r="G113" s="58">
        <f t="shared" ca="1" si="24"/>
        <v>0</v>
      </c>
      <c r="H113" s="56">
        <f t="shared" ca="1" si="25"/>
        <v>0</v>
      </c>
    </row>
    <row r="114" spans="1:8">
      <c r="A114" s="56">
        <v>103</v>
      </c>
      <c r="B114" s="57">
        <f t="shared" ca="1" si="22"/>
        <v>0</v>
      </c>
      <c r="C114" s="58">
        <f t="shared" ca="1" si="18"/>
        <v>0</v>
      </c>
      <c r="D114" s="59">
        <f t="shared" ca="1" si="23"/>
        <v>0</v>
      </c>
      <c r="E114" s="58">
        <f t="shared" ref="E114:E119" ca="1" si="33">IF(OR(C$6&gt;8.5,C114&lt;0.01),0,C$8-C114)</f>
        <v>0</v>
      </c>
      <c r="F114" s="59">
        <f t="shared" ca="1" si="32"/>
        <v>0</v>
      </c>
      <c r="G114" s="58">
        <f t="shared" ca="1" si="24"/>
        <v>0</v>
      </c>
      <c r="H114" s="56">
        <f t="shared" ca="1" si="25"/>
        <v>0</v>
      </c>
    </row>
    <row r="115" spans="1:8">
      <c r="A115" s="56">
        <v>104</v>
      </c>
      <c r="B115" s="57">
        <f t="shared" ca="1" si="22"/>
        <v>0</v>
      </c>
      <c r="C115" s="58">
        <f ca="1">B114*$D$4</f>
        <v>0</v>
      </c>
      <c r="D115" s="59">
        <f t="shared" ca="1" si="23"/>
        <v>0</v>
      </c>
      <c r="E115" s="58">
        <f t="shared" ca="1" si="33"/>
        <v>0</v>
      </c>
      <c r="F115" s="59">
        <f t="shared" ca="1" si="32"/>
        <v>0</v>
      </c>
      <c r="G115" s="58">
        <f t="shared" ca="1" si="24"/>
        <v>0</v>
      </c>
      <c r="H115" s="56">
        <f t="shared" ca="1" si="25"/>
        <v>0</v>
      </c>
    </row>
    <row r="116" spans="1:8">
      <c r="A116" s="56">
        <v>105</v>
      </c>
      <c r="B116" s="57">
        <f t="shared" ca="1" si="22"/>
        <v>0</v>
      </c>
      <c r="C116" s="58">
        <f t="shared" ca="1" si="18"/>
        <v>0</v>
      </c>
      <c r="D116" s="59">
        <f t="shared" ca="1" si="23"/>
        <v>0</v>
      </c>
      <c r="E116" s="58">
        <f t="shared" ca="1" si="33"/>
        <v>0</v>
      </c>
      <c r="F116" s="59">
        <f t="shared" ca="1" si="32"/>
        <v>0</v>
      </c>
      <c r="G116" s="58">
        <f t="shared" ca="1" si="24"/>
        <v>0</v>
      </c>
      <c r="H116" s="56">
        <f t="shared" ca="1" si="25"/>
        <v>0</v>
      </c>
    </row>
    <row r="117" spans="1:8">
      <c r="A117" s="56">
        <v>106</v>
      </c>
      <c r="B117" s="57">
        <f t="shared" ca="1" si="22"/>
        <v>0</v>
      </c>
      <c r="C117" s="58">
        <f t="shared" ca="1" si="18"/>
        <v>0</v>
      </c>
      <c r="D117" s="59">
        <f t="shared" ca="1" si="23"/>
        <v>0</v>
      </c>
      <c r="E117" s="58">
        <f t="shared" ca="1" si="33"/>
        <v>0</v>
      </c>
      <c r="F117" s="59">
        <f t="shared" ca="1" si="32"/>
        <v>0</v>
      </c>
      <c r="G117" s="58">
        <f t="shared" ca="1" si="24"/>
        <v>0</v>
      </c>
      <c r="H117" s="56">
        <f t="shared" ca="1" si="25"/>
        <v>0</v>
      </c>
    </row>
    <row r="118" spans="1:8">
      <c r="A118" s="56">
        <v>107</v>
      </c>
      <c r="B118" s="57">
        <f t="shared" ca="1" si="22"/>
        <v>0</v>
      </c>
      <c r="C118" s="58">
        <f ca="1">B117*$D$4</f>
        <v>0</v>
      </c>
      <c r="D118" s="59">
        <f t="shared" ca="1" si="23"/>
        <v>0</v>
      </c>
      <c r="E118" s="58">
        <f t="shared" ca="1" si="33"/>
        <v>0</v>
      </c>
      <c r="F118" s="59">
        <f t="shared" ca="1" si="32"/>
        <v>0</v>
      </c>
      <c r="G118" s="58">
        <f t="shared" ca="1" si="24"/>
        <v>0</v>
      </c>
      <c r="H118" s="56">
        <f t="shared" ca="1" si="25"/>
        <v>0</v>
      </c>
    </row>
    <row r="119" spans="1:8">
      <c r="A119" s="56">
        <v>108</v>
      </c>
      <c r="B119" s="57">
        <f t="shared" ca="1" si="22"/>
        <v>0</v>
      </c>
      <c r="C119" s="58">
        <f t="shared" ca="1" si="18"/>
        <v>0</v>
      </c>
      <c r="D119" s="59">
        <f t="shared" ca="1" si="23"/>
        <v>0</v>
      </c>
      <c r="E119" s="58">
        <f t="shared" ca="1" si="33"/>
        <v>0</v>
      </c>
      <c r="F119" s="59">
        <f t="shared" ca="1" si="32"/>
        <v>0</v>
      </c>
      <c r="G119" s="58">
        <f t="shared" ca="1" si="24"/>
        <v>0</v>
      </c>
      <c r="H119" s="56">
        <f t="shared" ca="1" si="25"/>
        <v>0</v>
      </c>
    </row>
    <row r="120" spans="1:8">
      <c r="A120" s="56">
        <v>109</v>
      </c>
      <c r="B120" s="57">
        <f t="shared" ca="1" si="22"/>
        <v>0</v>
      </c>
      <c r="C120" s="58">
        <f t="shared" ca="1" si="18"/>
        <v>0</v>
      </c>
      <c r="D120" s="59">
        <f t="shared" ca="1" si="23"/>
        <v>0</v>
      </c>
      <c r="E120" s="58">
        <f t="shared" ref="E120:E125" ca="1" si="34">IF(OR(C$6&gt;9,C120&lt;0.01),0,C$8-C120)</f>
        <v>0</v>
      </c>
      <c r="F120" s="59">
        <f t="shared" ca="1" si="32"/>
        <v>0</v>
      </c>
      <c r="G120" s="58">
        <f t="shared" ca="1" si="24"/>
        <v>0</v>
      </c>
      <c r="H120" s="56">
        <f t="shared" ca="1" si="25"/>
        <v>0</v>
      </c>
    </row>
    <row r="121" spans="1:8">
      <c r="A121" s="56">
        <v>110</v>
      </c>
      <c r="B121" s="57">
        <f t="shared" ca="1" si="22"/>
        <v>0</v>
      </c>
      <c r="C121" s="58">
        <f ca="1">B120*$D$4</f>
        <v>0</v>
      </c>
      <c r="D121" s="59">
        <f t="shared" ca="1" si="23"/>
        <v>0</v>
      </c>
      <c r="E121" s="58">
        <f t="shared" ca="1" si="34"/>
        <v>0</v>
      </c>
      <c r="F121" s="59">
        <f t="shared" ca="1" si="32"/>
        <v>0</v>
      </c>
      <c r="G121" s="58">
        <f t="shared" ca="1" si="24"/>
        <v>0</v>
      </c>
      <c r="H121" s="56">
        <f t="shared" ca="1" si="25"/>
        <v>0</v>
      </c>
    </row>
    <row r="122" spans="1:8">
      <c r="A122" s="56">
        <v>111</v>
      </c>
      <c r="B122" s="57">
        <f t="shared" ca="1" si="22"/>
        <v>0</v>
      </c>
      <c r="C122" s="58">
        <f t="shared" ca="1" si="18"/>
        <v>0</v>
      </c>
      <c r="D122" s="59">
        <f t="shared" ca="1" si="23"/>
        <v>0</v>
      </c>
      <c r="E122" s="58">
        <f t="shared" ca="1" si="34"/>
        <v>0</v>
      </c>
      <c r="F122" s="59">
        <f t="shared" ca="1" si="32"/>
        <v>0</v>
      </c>
      <c r="G122" s="58">
        <f t="shared" ca="1" si="24"/>
        <v>0</v>
      </c>
      <c r="H122" s="56">
        <f t="shared" ca="1" si="25"/>
        <v>0</v>
      </c>
    </row>
    <row r="123" spans="1:8">
      <c r="A123" s="56">
        <v>112</v>
      </c>
      <c r="B123" s="57">
        <f t="shared" ca="1" si="22"/>
        <v>0</v>
      </c>
      <c r="C123" s="58">
        <f ca="1">IF(+$D$7=4,0,B122*$D$4)</f>
        <v>0</v>
      </c>
      <c r="D123" s="59">
        <f t="shared" ca="1" si="23"/>
        <v>0</v>
      </c>
      <c r="E123" s="58">
        <f t="shared" ca="1" si="34"/>
        <v>0</v>
      </c>
      <c r="F123" s="59">
        <f t="shared" ca="1" si="32"/>
        <v>0</v>
      </c>
      <c r="G123" s="58">
        <f t="shared" ca="1" si="24"/>
        <v>0</v>
      </c>
      <c r="H123" s="56">
        <f t="shared" ca="1" si="25"/>
        <v>0</v>
      </c>
    </row>
    <row r="124" spans="1:8">
      <c r="A124" s="56">
        <v>113</v>
      </c>
      <c r="B124" s="57">
        <f t="shared" ca="1" si="22"/>
        <v>0</v>
      </c>
      <c r="C124" s="58">
        <f ca="1">B123*$D$4</f>
        <v>0</v>
      </c>
      <c r="D124" s="59">
        <f t="shared" ca="1" si="23"/>
        <v>0</v>
      </c>
      <c r="E124" s="58">
        <f t="shared" ca="1" si="34"/>
        <v>0</v>
      </c>
      <c r="F124" s="59">
        <f t="shared" ca="1" si="32"/>
        <v>0</v>
      </c>
      <c r="G124" s="58">
        <f t="shared" ca="1" si="24"/>
        <v>0</v>
      </c>
      <c r="H124" s="56">
        <f t="shared" ca="1" si="25"/>
        <v>0</v>
      </c>
    </row>
    <row r="125" spans="1:8">
      <c r="A125" s="56">
        <v>114</v>
      </c>
      <c r="B125" s="57">
        <f t="shared" ca="1" si="22"/>
        <v>0</v>
      </c>
      <c r="C125" s="58">
        <f ca="1">IF(+$D$7=4,0,B124*$D$4)</f>
        <v>0</v>
      </c>
      <c r="D125" s="59">
        <f t="shared" ca="1" si="23"/>
        <v>0</v>
      </c>
      <c r="E125" s="58">
        <f t="shared" ca="1" si="34"/>
        <v>0</v>
      </c>
      <c r="F125" s="59">
        <f t="shared" ca="1" si="32"/>
        <v>0</v>
      </c>
      <c r="G125" s="58">
        <f t="shared" ca="1" si="24"/>
        <v>0</v>
      </c>
      <c r="H125" s="56">
        <f t="shared" ca="1" si="25"/>
        <v>0</v>
      </c>
    </row>
    <row r="126" spans="1:8">
      <c r="A126" s="56">
        <v>115</v>
      </c>
      <c r="B126" s="57">
        <f t="shared" ca="1" si="22"/>
        <v>0</v>
      </c>
      <c r="C126" s="58">
        <f ca="1">IF(+$D$7=4,0,B125*$D$4)</f>
        <v>0</v>
      </c>
      <c r="D126" s="59">
        <f t="shared" ca="1" si="23"/>
        <v>0</v>
      </c>
      <c r="E126" s="58">
        <f t="shared" ref="E126:E131" ca="1" si="35">IF(OR(C$6&gt;9.5,C126&lt;0.01),0,C$8-C126)</f>
        <v>0</v>
      </c>
      <c r="F126" s="59">
        <f t="shared" ca="1" si="32"/>
        <v>0</v>
      </c>
      <c r="G126" s="58">
        <f t="shared" ca="1" si="24"/>
        <v>0</v>
      </c>
      <c r="H126" s="56">
        <f t="shared" ca="1" si="25"/>
        <v>0</v>
      </c>
    </row>
    <row r="127" spans="1:8">
      <c r="A127" s="56">
        <v>116</v>
      </c>
      <c r="B127" s="57">
        <f t="shared" ca="1" si="22"/>
        <v>0</v>
      </c>
      <c r="C127" s="58">
        <f ca="1">B126*$D$4</f>
        <v>0</v>
      </c>
      <c r="D127" s="59">
        <f t="shared" ca="1" si="23"/>
        <v>0</v>
      </c>
      <c r="E127" s="58">
        <f t="shared" ca="1" si="35"/>
        <v>0</v>
      </c>
      <c r="F127" s="59">
        <f t="shared" ca="1" si="32"/>
        <v>0</v>
      </c>
      <c r="G127" s="58">
        <f t="shared" ca="1" si="24"/>
        <v>0</v>
      </c>
      <c r="H127" s="56">
        <f t="shared" ca="1" si="25"/>
        <v>0</v>
      </c>
    </row>
    <row r="128" spans="1:8">
      <c r="A128" s="56">
        <v>117</v>
      </c>
      <c r="B128" s="57">
        <f t="shared" ca="1" si="22"/>
        <v>0</v>
      </c>
      <c r="C128" s="58">
        <f ca="1">IF(+$D$7=4,0,B127*$D$4)</f>
        <v>0</v>
      </c>
      <c r="D128" s="59">
        <f t="shared" ca="1" si="23"/>
        <v>0</v>
      </c>
      <c r="E128" s="58">
        <f t="shared" ca="1" si="35"/>
        <v>0</v>
      </c>
      <c r="F128" s="59">
        <f t="shared" ca="1" si="32"/>
        <v>0</v>
      </c>
      <c r="G128" s="58">
        <f t="shared" ca="1" si="24"/>
        <v>0</v>
      </c>
      <c r="H128" s="56">
        <f t="shared" ca="1" si="25"/>
        <v>0</v>
      </c>
    </row>
    <row r="129" spans="1:8">
      <c r="A129" s="56">
        <v>118</v>
      </c>
      <c r="B129" s="57">
        <f t="shared" ca="1" si="22"/>
        <v>0</v>
      </c>
      <c r="C129" s="58">
        <f ca="1">IF(+$D$7=4,0,B128*$D$4)</f>
        <v>0</v>
      </c>
      <c r="D129" s="59">
        <f t="shared" ca="1" si="23"/>
        <v>0</v>
      </c>
      <c r="E129" s="58">
        <f t="shared" ca="1" si="35"/>
        <v>0</v>
      </c>
      <c r="F129" s="59">
        <f t="shared" ca="1" si="32"/>
        <v>0</v>
      </c>
      <c r="G129" s="58">
        <f t="shared" ca="1" si="24"/>
        <v>0</v>
      </c>
      <c r="H129" s="56">
        <f t="shared" ca="1" si="25"/>
        <v>0</v>
      </c>
    </row>
    <row r="130" spans="1:8">
      <c r="A130" s="56">
        <v>119</v>
      </c>
      <c r="B130" s="57">
        <f t="shared" ca="1" si="22"/>
        <v>0</v>
      </c>
      <c r="C130" s="58">
        <f ca="1">B129*$D$4</f>
        <v>0</v>
      </c>
      <c r="D130" s="59">
        <f t="shared" ca="1" si="23"/>
        <v>0</v>
      </c>
      <c r="E130" s="58">
        <f t="shared" ca="1" si="35"/>
        <v>0</v>
      </c>
      <c r="F130" s="59">
        <f t="shared" ca="1" si="32"/>
        <v>0</v>
      </c>
      <c r="G130" s="58">
        <f t="shared" ca="1" si="24"/>
        <v>0</v>
      </c>
      <c r="H130" s="56">
        <f t="shared" ca="1" si="25"/>
        <v>0</v>
      </c>
    </row>
    <row r="131" spans="1:8">
      <c r="A131" s="56">
        <v>120</v>
      </c>
      <c r="B131" s="57">
        <f t="shared" ca="1" si="22"/>
        <v>0</v>
      </c>
      <c r="C131" s="58">
        <f ca="1">IF(+$D$7=4,0,B130*$D$4)</f>
        <v>0</v>
      </c>
      <c r="D131" s="59">
        <f t="shared" ca="1" si="23"/>
        <v>0</v>
      </c>
      <c r="E131" s="58">
        <f t="shared" ca="1" si="35"/>
        <v>0</v>
      </c>
      <c r="F131" s="59">
        <f t="shared" ca="1" si="32"/>
        <v>0</v>
      </c>
      <c r="G131" s="58">
        <f t="shared" ca="1" si="24"/>
        <v>0</v>
      </c>
      <c r="H131" s="56">
        <f t="shared" ca="1" si="25"/>
        <v>0</v>
      </c>
    </row>
    <row r="132" spans="1:8">
      <c r="A132" s="56">
        <v>121</v>
      </c>
      <c r="B132" s="57">
        <f t="shared" ca="1" si="22"/>
        <v>0</v>
      </c>
      <c r="C132" s="58">
        <f ca="1">IF(+$D$7=4,0,B131*$D$4)</f>
        <v>0</v>
      </c>
      <c r="D132" s="59">
        <f t="shared" ca="1" si="23"/>
        <v>0</v>
      </c>
      <c r="E132" s="58">
        <f ca="1">IF(OR(C$6&gt;0,C132&lt;0.01),0,C$8-C132)</f>
        <v>0</v>
      </c>
      <c r="F132" s="59">
        <f t="shared" ca="1" si="32"/>
        <v>0</v>
      </c>
      <c r="G132" s="58">
        <f t="shared" ca="1" si="24"/>
        <v>0</v>
      </c>
      <c r="H132" s="56">
        <f t="shared" ca="1" si="25"/>
        <v>0</v>
      </c>
    </row>
    <row r="133" spans="1:8">
      <c r="A133" s="56">
        <v>122</v>
      </c>
      <c r="B133" s="57">
        <f t="shared" ca="1" si="22"/>
        <v>0</v>
      </c>
      <c r="C133" s="58">
        <f ca="1">B132*$D$4</f>
        <v>0</v>
      </c>
      <c r="D133" s="59">
        <f t="shared" ca="1" si="23"/>
        <v>0</v>
      </c>
      <c r="E133" s="58">
        <f t="shared" ref="E133:E138" ca="1" si="36">IF(OR(C$6&gt;10,C133&lt;0.01),0,C$8-C133)</f>
        <v>0</v>
      </c>
      <c r="F133" s="59">
        <f t="shared" ca="1" si="32"/>
        <v>0</v>
      </c>
      <c r="G133" s="58">
        <f t="shared" ca="1" si="24"/>
        <v>0</v>
      </c>
      <c r="H133" s="56">
        <f t="shared" ca="1" si="25"/>
        <v>0</v>
      </c>
    </row>
    <row r="134" spans="1:8">
      <c r="A134" s="56">
        <v>123</v>
      </c>
      <c r="B134" s="57">
        <f t="shared" ca="1" si="22"/>
        <v>0</v>
      </c>
      <c r="C134" s="58">
        <f ca="1">IF(+$D$7=4,0,B133*$D$4)</f>
        <v>0</v>
      </c>
      <c r="D134" s="59">
        <f t="shared" ca="1" si="23"/>
        <v>0</v>
      </c>
      <c r="E134" s="58">
        <f t="shared" ca="1" si="36"/>
        <v>0</v>
      </c>
      <c r="F134" s="59">
        <f t="shared" ca="1" si="32"/>
        <v>0</v>
      </c>
      <c r="G134" s="58">
        <f t="shared" ca="1" si="24"/>
        <v>0</v>
      </c>
      <c r="H134" s="56">
        <f t="shared" ca="1" si="25"/>
        <v>0</v>
      </c>
    </row>
    <row r="135" spans="1:8">
      <c r="A135" s="56">
        <v>124</v>
      </c>
      <c r="B135" s="57">
        <f t="shared" ca="1" si="22"/>
        <v>0</v>
      </c>
      <c r="C135" s="58">
        <f ca="1">IF(+$D$7=4,0,B134*$D$4)</f>
        <v>0</v>
      </c>
      <c r="D135" s="59">
        <f t="shared" ca="1" si="23"/>
        <v>0</v>
      </c>
      <c r="E135" s="58">
        <f t="shared" ca="1" si="36"/>
        <v>0</v>
      </c>
      <c r="F135" s="59">
        <f t="shared" ca="1" si="32"/>
        <v>0</v>
      </c>
      <c r="G135" s="58">
        <f t="shared" ca="1" si="24"/>
        <v>0</v>
      </c>
      <c r="H135" s="56">
        <f t="shared" ca="1" si="25"/>
        <v>0</v>
      </c>
    </row>
    <row r="136" spans="1:8">
      <c r="A136" s="56">
        <v>125</v>
      </c>
      <c r="B136" s="57">
        <f t="shared" ca="1" si="22"/>
        <v>0</v>
      </c>
      <c r="C136" s="58">
        <f ca="1">B135*$D$4</f>
        <v>0</v>
      </c>
      <c r="D136" s="59">
        <f t="shared" ca="1" si="23"/>
        <v>0</v>
      </c>
      <c r="E136" s="58">
        <f t="shared" ca="1" si="36"/>
        <v>0</v>
      </c>
      <c r="F136" s="59">
        <f t="shared" ca="1" si="32"/>
        <v>0</v>
      </c>
      <c r="G136" s="58">
        <f t="shared" ca="1" si="24"/>
        <v>0</v>
      </c>
      <c r="H136" s="56">
        <f t="shared" ca="1" si="25"/>
        <v>0</v>
      </c>
    </row>
    <row r="137" spans="1:8">
      <c r="A137" s="56">
        <v>126</v>
      </c>
      <c r="B137" s="57">
        <f t="shared" ca="1" si="22"/>
        <v>0</v>
      </c>
      <c r="C137" s="58">
        <f ca="1">IF(+$D$7=4,0,B136*$D$4)</f>
        <v>0</v>
      </c>
      <c r="D137" s="59">
        <f t="shared" ca="1" si="23"/>
        <v>0</v>
      </c>
      <c r="E137" s="58">
        <f t="shared" ca="1" si="36"/>
        <v>0</v>
      </c>
      <c r="F137" s="59">
        <f t="shared" ca="1" si="32"/>
        <v>0</v>
      </c>
      <c r="G137" s="58">
        <f t="shared" ca="1" si="24"/>
        <v>0</v>
      </c>
      <c r="H137" s="56">
        <f t="shared" ca="1" si="25"/>
        <v>0</v>
      </c>
    </row>
    <row r="138" spans="1:8">
      <c r="A138" s="56">
        <v>127</v>
      </c>
      <c r="B138" s="57">
        <f t="shared" ca="1" si="22"/>
        <v>0</v>
      </c>
      <c r="C138" s="58">
        <f ca="1">IF(+$D$7=4,0,B137*$D$4)</f>
        <v>0</v>
      </c>
      <c r="D138" s="59">
        <f t="shared" ca="1" si="23"/>
        <v>0</v>
      </c>
      <c r="E138" s="58">
        <f t="shared" ca="1" si="36"/>
        <v>0</v>
      </c>
      <c r="F138" s="59">
        <f t="shared" ca="1" si="32"/>
        <v>0</v>
      </c>
      <c r="G138" s="58">
        <f t="shared" ca="1" si="24"/>
        <v>0</v>
      </c>
      <c r="H138" s="56">
        <f t="shared" ca="1" si="25"/>
        <v>0</v>
      </c>
    </row>
    <row r="139" spans="1:8">
      <c r="A139" s="56">
        <v>128</v>
      </c>
      <c r="B139" s="57">
        <f t="shared" ca="1" si="22"/>
        <v>0</v>
      </c>
      <c r="C139" s="58">
        <f ca="1">B138*$D$4</f>
        <v>0</v>
      </c>
      <c r="D139" s="59">
        <f t="shared" ca="1" si="23"/>
        <v>0</v>
      </c>
      <c r="E139" s="58">
        <f t="shared" ref="E139:E144" ca="1" si="37">IF(OR(C$6&gt;10.5,C139&lt;0.01),0,C$8-C139)</f>
        <v>0</v>
      </c>
      <c r="F139" s="59">
        <f t="shared" ca="1" si="32"/>
        <v>0</v>
      </c>
      <c r="G139" s="58">
        <f t="shared" ca="1" si="24"/>
        <v>0</v>
      </c>
      <c r="H139" s="56">
        <f t="shared" ca="1" si="25"/>
        <v>0</v>
      </c>
    </row>
    <row r="140" spans="1:8">
      <c r="A140" s="56">
        <v>129</v>
      </c>
      <c r="B140" s="57">
        <f t="shared" ref="B140:B187" ca="1" si="38">IF(B139&lt;1,0,B139-E140)</f>
        <v>0</v>
      </c>
      <c r="C140" s="58">
        <f ca="1">IF(+$D$7=4,0,B139*$D$4)</f>
        <v>0</v>
      </c>
      <c r="D140" s="59">
        <f t="shared" ref="D140:D187" ca="1" si="39">IF(B140=0,0,D139+C140)</f>
        <v>0</v>
      </c>
      <c r="E140" s="58">
        <f t="shared" ca="1" si="37"/>
        <v>0</v>
      </c>
      <c r="F140" s="59">
        <f t="shared" ca="1" si="32"/>
        <v>0</v>
      </c>
      <c r="G140" s="58">
        <f t="shared" ca="1" si="24"/>
        <v>0</v>
      </c>
      <c r="H140" s="56">
        <f t="shared" ca="1" si="25"/>
        <v>0</v>
      </c>
    </row>
    <row r="141" spans="1:8">
      <c r="A141" s="56">
        <v>130</v>
      </c>
      <c r="B141" s="57">
        <f t="shared" ca="1" si="38"/>
        <v>0</v>
      </c>
      <c r="C141" s="58">
        <f ca="1">IF(+$D$7=4,0,B140*$D$4)</f>
        <v>0</v>
      </c>
      <c r="D141" s="59">
        <f t="shared" ca="1" si="39"/>
        <v>0</v>
      </c>
      <c r="E141" s="58">
        <f t="shared" ca="1" si="37"/>
        <v>0</v>
      </c>
      <c r="F141" s="59">
        <f t="shared" ca="1" si="32"/>
        <v>0</v>
      </c>
      <c r="G141" s="58">
        <f t="shared" ref="G141:G190" ca="1" si="40">C$8*H141</f>
        <v>0</v>
      </c>
      <c r="H141" s="56">
        <f t="shared" ref="H141:H191" ca="1" si="41">IF(E141=0,0,A141-D$6)</f>
        <v>0</v>
      </c>
    </row>
    <row r="142" spans="1:8">
      <c r="A142" s="56">
        <v>131</v>
      </c>
      <c r="B142" s="57">
        <f t="shared" ca="1" si="38"/>
        <v>0</v>
      </c>
      <c r="C142" s="58">
        <f ca="1">B141*$D$4</f>
        <v>0</v>
      </c>
      <c r="D142" s="59">
        <f t="shared" ca="1" si="39"/>
        <v>0</v>
      </c>
      <c r="E142" s="58">
        <f t="shared" ca="1" si="37"/>
        <v>0</v>
      </c>
      <c r="F142" s="59">
        <f t="shared" ca="1" si="32"/>
        <v>0</v>
      </c>
      <c r="G142" s="58">
        <f t="shared" ca="1" si="40"/>
        <v>0</v>
      </c>
      <c r="H142" s="56">
        <f t="shared" ca="1" si="41"/>
        <v>0</v>
      </c>
    </row>
    <row r="143" spans="1:8">
      <c r="A143" s="56">
        <v>132</v>
      </c>
      <c r="B143" s="57">
        <f t="shared" ca="1" si="38"/>
        <v>0</v>
      </c>
      <c r="C143" s="58">
        <f ca="1">IF(+$D$7=4,0,B142*$D$4)</f>
        <v>0</v>
      </c>
      <c r="D143" s="59">
        <f t="shared" ca="1" si="39"/>
        <v>0</v>
      </c>
      <c r="E143" s="58">
        <f t="shared" ca="1" si="37"/>
        <v>0</v>
      </c>
      <c r="F143" s="59">
        <f t="shared" ca="1" si="32"/>
        <v>0</v>
      </c>
      <c r="G143" s="58">
        <f t="shared" ca="1" si="40"/>
        <v>0</v>
      </c>
      <c r="H143" s="56">
        <f t="shared" ca="1" si="41"/>
        <v>0</v>
      </c>
    </row>
    <row r="144" spans="1:8">
      <c r="A144" s="56">
        <v>133</v>
      </c>
      <c r="B144" s="57">
        <f t="shared" ca="1" si="38"/>
        <v>0</v>
      </c>
      <c r="C144" s="58">
        <f ca="1">IF(+$D$7=4,0,B143*$D$4)</f>
        <v>0</v>
      </c>
      <c r="D144" s="59">
        <f t="shared" ca="1" si="39"/>
        <v>0</v>
      </c>
      <c r="E144" s="58">
        <f t="shared" ca="1" si="37"/>
        <v>0</v>
      </c>
      <c r="F144" s="59">
        <f t="shared" ca="1" si="32"/>
        <v>0</v>
      </c>
      <c r="G144" s="58">
        <f t="shared" ca="1" si="40"/>
        <v>0</v>
      </c>
      <c r="H144" s="56">
        <f t="shared" ca="1" si="41"/>
        <v>0</v>
      </c>
    </row>
    <row r="145" spans="1:8">
      <c r="A145" s="56">
        <v>134</v>
      </c>
      <c r="B145" s="57">
        <f t="shared" ca="1" si="38"/>
        <v>0</v>
      </c>
      <c r="C145" s="58">
        <f ca="1">B144*$D$4</f>
        <v>0</v>
      </c>
      <c r="D145" s="59">
        <f t="shared" ca="1" si="39"/>
        <v>0</v>
      </c>
      <c r="E145" s="58">
        <f t="shared" ref="E145:E150" ca="1" si="42">IF(OR(C$6&gt;11,C145&lt;0.01),0,C$8-C145)</f>
        <v>0</v>
      </c>
      <c r="F145" s="59">
        <f t="shared" ca="1" si="32"/>
        <v>0</v>
      </c>
      <c r="G145" s="58">
        <f t="shared" ca="1" si="40"/>
        <v>0</v>
      </c>
      <c r="H145" s="56">
        <f t="shared" ca="1" si="41"/>
        <v>0</v>
      </c>
    </row>
    <row r="146" spans="1:8">
      <c r="A146" s="56">
        <v>135</v>
      </c>
      <c r="B146" s="57">
        <f t="shared" ca="1" si="38"/>
        <v>0</v>
      </c>
      <c r="C146" s="58">
        <f ca="1">IF(+$D$7=4,0,B145*$D$4)</f>
        <v>0</v>
      </c>
      <c r="D146" s="59">
        <f t="shared" ca="1" si="39"/>
        <v>0</v>
      </c>
      <c r="E146" s="58">
        <f t="shared" ca="1" si="42"/>
        <v>0</v>
      </c>
      <c r="F146" s="59">
        <f t="shared" ca="1" si="32"/>
        <v>0</v>
      </c>
      <c r="G146" s="58">
        <f t="shared" ca="1" si="40"/>
        <v>0</v>
      </c>
      <c r="H146" s="56">
        <f t="shared" ca="1" si="41"/>
        <v>0</v>
      </c>
    </row>
    <row r="147" spans="1:8">
      <c r="A147" s="56">
        <v>136</v>
      </c>
      <c r="B147" s="57">
        <f t="shared" ca="1" si="38"/>
        <v>0</v>
      </c>
      <c r="C147" s="58">
        <f ca="1">IF(+$D$7=4,0,B146*$D$4)</f>
        <v>0</v>
      </c>
      <c r="D147" s="59">
        <f t="shared" ca="1" si="39"/>
        <v>0</v>
      </c>
      <c r="E147" s="58">
        <f t="shared" ca="1" si="42"/>
        <v>0</v>
      </c>
      <c r="F147" s="59">
        <f t="shared" ca="1" si="32"/>
        <v>0</v>
      </c>
      <c r="G147" s="58">
        <f t="shared" ca="1" si="40"/>
        <v>0</v>
      </c>
      <c r="H147" s="56">
        <f t="shared" ca="1" si="41"/>
        <v>0</v>
      </c>
    </row>
    <row r="148" spans="1:8">
      <c r="A148" s="56">
        <v>137</v>
      </c>
      <c r="B148" s="57">
        <f t="shared" ca="1" si="38"/>
        <v>0</v>
      </c>
      <c r="C148" s="58">
        <f ca="1">B147*$D$4</f>
        <v>0</v>
      </c>
      <c r="D148" s="59">
        <f t="shared" ca="1" si="39"/>
        <v>0</v>
      </c>
      <c r="E148" s="58">
        <f t="shared" ca="1" si="42"/>
        <v>0</v>
      </c>
      <c r="F148" s="59">
        <f t="shared" ca="1" si="32"/>
        <v>0</v>
      </c>
      <c r="G148" s="58">
        <f t="shared" ca="1" si="40"/>
        <v>0</v>
      </c>
      <c r="H148" s="56">
        <f t="shared" ca="1" si="41"/>
        <v>0</v>
      </c>
    </row>
    <row r="149" spans="1:8">
      <c r="A149" s="56">
        <v>138</v>
      </c>
      <c r="B149" s="57">
        <f t="shared" ca="1" si="38"/>
        <v>0</v>
      </c>
      <c r="C149" s="58">
        <f ca="1">IF(+$D$7=4,0,B148*$D$4)</f>
        <v>0</v>
      </c>
      <c r="D149" s="59">
        <f t="shared" ca="1" si="39"/>
        <v>0</v>
      </c>
      <c r="E149" s="58">
        <f t="shared" ca="1" si="42"/>
        <v>0</v>
      </c>
      <c r="F149" s="59">
        <f t="shared" ca="1" si="32"/>
        <v>0</v>
      </c>
      <c r="G149" s="58">
        <f t="shared" ca="1" si="40"/>
        <v>0</v>
      </c>
      <c r="H149" s="56">
        <f t="shared" ca="1" si="41"/>
        <v>0</v>
      </c>
    </row>
    <row r="150" spans="1:8">
      <c r="A150" s="56">
        <v>139</v>
      </c>
      <c r="B150" s="57">
        <f t="shared" ca="1" si="38"/>
        <v>0</v>
      </c>
      <c r="C150" s="58">
        <f ca="1">IF(+$D$7=4,0,B149*$D$4)</f>
        <v>0</v>
      </c>
      <c r="D150" s="59">
        <f t="shared" ca="1" si="39"/>
        <v>0</v>
      </c>
      <c r="E150" s="58">
        <f t="shared" ca="1" si="42"/>
        <v>0</v>
      </c>
      <c r="F150" s="59">
        <f t="shared" ca="1" si="32"/>
        <v>0</v>
      </c>
      <c r="G150" s="58">
        <f t="shared" ca="1" si="40"/>
        <v>0</v>
      </c>
      <c r="H150" s="56">
        <f t="shared" ca="1" si="41"/>
        <v>0</v>
      </c>
    </row>
    <row r="151" spans="1:8">
      <c r="A151" s="56">
        <v>140</v>
      </c>
      <c r="B151" s="57">
        <f t="shared" ca="1" si="38"/>
        <v>0</v>
      </c>
      <c r="C151" s="58">
        <f ca="1">B150*$D$4</f>
        <v>0</v>
      </c>
      <c r="D151" s="59">
        <f t="shared" ca="1" si="39"/>
        <v>0</v>
      </c>
      <c r="E151" s="58">
        <f t="shared" ref="E151:E156" ca="1" si="43">IF(OR(C$6&gt;11.5,C151&lt;0.01),0,C$8-C151)</f>
        <v>0</v>
      </c>
      <c r="F151" s="59">
        <f t="shared" ca="1" si="32"/>
        <v>0</v>
      </c>
      <c r="G151" s="58">
        <f t="shared" ca="1" si="40"/>
        <v>0</v>
      </c>
      <c r="H151" s="56">
        <f t="shared" ca="1" si="41"/>
        <v>0</v>
      </c>
    </row>
    <row r="152" spans="1:8">
      <c r="A152" s="56">
        <v>141</v>
      </c>
      <c r="B152" s="57">
        <f t="shared" ca="1" si="38"/>
        <v>0</v>
      </c>
      <c r="C152" s="58">
        <f ca="1">IF(+$D$7=4,0,B151*$D$4)</f>
        <v>0</v>
      </c>
      <c r="D152" s="59">
        <f t="shared" ca="1" si="39"/>
        <v>0</v>
      </c>
      <c r="E152" s="58">
        <f t="shared" ca="1" si="43"/>
        <v>0</v>
      </c>
      <c r="F152" s="59">
        <f t="shared" ca="1" si="32"/>
        <v>0</v>
      </c>
      <c r="G152" s="58">
        <f t="shared" ca="1" si="40"/>
        <v>0</v>
      </c>
      <c r="H152" s="56">
        <f t="shared" ca="1" si="41"/>
        <v>0</v>
      </c>
    </row>
    <row r="153" spans="1:8">
      <c r="A153" s="56">
        <v>142</v>
      </c>
      <c r="B153" s="57">
        <f t="shared" ca="1" si="38"/>
        <v>0</v>
      </c>
      <c r="C153" s="58">
        <f ca="1">IF(+$D$7=4,0,B152*$D$4)</f>
        <v>0</v>
      </c>
      <c r="D153" s="59">
        <f t="shared" ca="1" si="39"/>
        <v>0</v>
      </c>
      <c r="E153" s="58">
        <f t="shared" ca="1" si="43"/>
        <v>0</v>
      </c>
      <c r="F153" s="59">
        <f t="shared" ca="1" si="32"/>
        <v>0</v>
      </c>
      <c r="G153" s="58">
        <f t="shared" ca="1" si="40"/>
        <v>0</v>
      </c>
      <c r="H153" s="56">
        <f t="shared" ca="1" si="41"/>
        <v>0</v>
      </c>
    </row>
    <row r="154" spans="1:8">
      <c r="A154" s="56">
        <v>143</v>
      </c>
      <c r="B154" s="57">
        <f t="shared" ca="1" si="38"/>
        <v>0</v>
      </c>
      <c r="C154" s="58">
        <f ca="1">B153*$D$4</f>
        <v>0</v>
      </c>
      <c r="D154" s="59">
        <f t="shared" ca="1" si="39"/>
        <v>0</v>
      </c>
      <c r="E154" s="58">
        <f t="shared" ca="1" si="43"/>
        <v>0</v>
      </c>
      <c r="F154" s="59">
        <f t="shared" ca="1" si="32"/>
        <v>0</v>
      </c>
      <c r="G154" s="58">
        <f t="shared" ca="1" si="40"/>
        <v>0</v>
      </c>
      <c r="H154" s="56">
        <f t="shared" ca="1" si="41"/>
        <v>0</v>
      </c>
    </row>
    <row r="155" spans="1:8">
      <c r="A155" s="56">
        <v>144</v>
      </c>
      <c r="B155" s="57">
        <f t="shared" ca="1" si="38"/>
        <v>0</v>
      </c>
      <c r="C155" s="58">
        <f ca="1">IF(+$D$7=4,0,B154*$D$4)</f>
        <v>0</v>
      </c>
      <c r="D155" s="59">
        <f t="shared" ca="1" si="39"/>
        <v>0</v>
      </c>
      <c r="E155" s="58">
        <f t="shared" ca="1" si="43"/>
        <v>0</v>
      </c>
      <c r="F155" s="59">
        <f t="shared" ca="1" si="32"/>
        <v>0</v>
      </c>
      <c r="G155" s="58">
        <f t="shared" ca="1" si="40"/>
        <v>0</v>
      </c>
      <c r="H155" s="56">
        <f t="shared" ca="1" si="41"/>
        <v>0</v>
      </c>
    </row>
    <row r="156" spans="1:8">
      <c r="A156" s="56">
        <v>145</v>
      </c>
      <c r="B156" s="57">
        <f t="shared" ca="1" si="38"/>
        <v>0</v>
      </c>
      <c r="C156" s="58">
        <f ca="1">IF(+$D$7=4,0,B155*$D$4)</f>
        <v>0</v>
      </c>
      <c r="D156" s="59">
        <f t="shared" ca="1" si="39"/>
        <v>0</v>
      </c>
      <c r="E156" s="58">
        <f t="shared" ca="1" si="43"/>
        <v>0</v>
      </c>
      <c r="F156" s="59">
        <f t="shared" ca="1" si="32"/>
        <v>0</v>
      </c>
      <c r="G156" s="58">
        <f t="shared" ca="1" si="40"/>
        <v>0</v>
      </c>
      <c r="H156" s="56">
        <f t="shared" ca="1" si="41"/>
        <v>0</v>
      </c>
    </row>
    <row r="157" spans="1:8">
      <c r="A157" s="56">
        <v>146</v>
      </c>
      <c r="B157" s="57">
        <f t="shared" ca="1" si="38"/>
        <v>0</v>
      </c>
      <c r="C157" s="58">
        <f ca="1">B156*$D$4</f>
        <v>0</v>
      </c>
      <c r="D157" s="59">
        <f t="shared" ca="1" si="39"/>
        <v>0</v>
      </c>
      <c r="E157" s="58">
        <f t="shared" ref="E157:E162" ca="1" si="44">IF(OR(C$6&gt;12,C157&lt;0.01),0,C$8-C157)</f>
        <v>0</v>
      </c>
      <c r="F157" s="59">
        <f t="shared" ca="1" si="32"/>
        <v>0</v>
      </c>
      <c r="G157" s="58">
        <f t="shared" ca="1" si="40"/>
        <v>0</v>
      </c>
      <c r="H157" s="56">
        <f t="shared" ca="1" si="41"/>
        <v>0</v>
      </c>
    </row>
    <row r="158" spans="1:8">
      <c r="A158" s="56">
        <v>147</v>
      </c>
      <c r="B158" s="57">
        <f t="shared" ca="1" si="38"/>
        <v>0</v>
      </c>
      <c r="C158" s="58">
        <f ca="1">IF(+$D$7=4,0,B157*$D$4)</f>
        <v>0</v>
      </c>
      <c r="D158" s="59">
        <f t="shared" ca="1" si="39"/>
        <v>0</v>
      </c>
      <c r="E158" s="58">
        <f t="shared" ca="1" si="44"/>
        <v>0</v>
      </c>
      <c r="F158" s="59">
        <f t="shared" ca="1" si="32"/>
        <v>0</v>
      </c>
      <c r="G158" s="58">
        <f t="shared" ca="1" si="40"/>
        <v>0</v>
      </c>
      <c r="H158" s="56">
        <f t="shared" ca="1" si="41"/>
        <v>0</v>
      </c>
    </row>
    <row r="159" spans="1:8">
      <c r="A159" s="56">
        <v>148</v>
      </c>
      <c r="B159" s="57">
        <f t="shared" ca="1" si="38"/>
        <v>0</v>
      </c>
      <c r="C159" s="58">
        <f ca="1">IF(+$D$7=4,0,B158*$D$4)</f>
        <v>0</v>
      </c>
      <c r="D159" s="59">
        <f t="shared" ca="1" si="39"/>
        <v>0</v>
      </c>
      <c r="E159" s="58">
        <f t="shared" ca="1" si="44"/>
        <v>0</v>
      </c>
      <c r="F159" s="59">
        <f t="shared" ca="1" si="32"/>
        <v>0</v>
      </c>
      <c r="G159" s="58">
        <f t="shared" ca="1" si="40"/>
        <v>0</v>
      </c>
      <c r="H159" s="56">
        <f t="shared" ca="1" si="41"/>
        <v>0</v>
      </c>
    </row>
    <row r="160" spans="1:8">
      <c r="A160" s="56">
        <v>149</v>
      </c>
      <c r="B160" s="57">
        <f t="shared" ca="1" si="38"/>
        <v>0</v>
      </c>
      <c r="C160" s="58">
        <f ca="1">B159*$D$4</f>
        <v>0</v>
      </c>
      <c r="D160" s="59">
        <f t="shared" ca="1" si="39"/>
        <v>0</v>
      </c>
      <c r="E160" s="58">
        <f t="shared" ca="1" si="44"/>
        <v>0</v>
      </c>
      <c r="F160" s="59">
        <f t="shared" ca="1" si="32"/>
        <v>0</v>
      </c>
      <c r="G160" s="58">
        <f t="shared" ca="1" si="40"/>
        <v>0</v>
      </c>
      <c r="H160" s="56">
        <f t="shared" ca="1" si="41"/>
        <v>0</v>
      </c>
    </row>
    <row r="161" spans="1:8">
      <c r="A161" s="56">
        <v>150</v>
      </c>
      <c r="B161" s="57">
        <f t="shared" ca="1" si="38"/>
        <v>0</v>
      </c>
      <c r="C161" s="58">
        <f ca="1">IF(+$D$7=4,0,B160*$D$4)</f>
        <v>0</v>
      </c>
      <c r="D161" s="59">
        <f t="shared" ca="1" si="39"/>
        <v>0</v>
      </c>
      <c r="E161" s="58">
        <f t="shared" ca="1" si="44"/>
        <v>0</v>
      </c>
      <c r="F161" s="59">
        <f t="shared" ca="1" si="32"/>
        <v>0</v>
      </c>
      <c r="G161" s="58">
        <f t="shared" ca="1" si="40"/>
        <v>0</v>
      </c>
      <c r="H161" s="56">
        <f t="shared" ca="1" si="41"/>
        <v>0</v>
      </c>
    </row>
    <row r="162" spans="1:8">
      <c r="A162" s="56">
        <v>151</v>
      </c>
      <c r="B162" s="57">
        <f t="shared" ca="1" si="38"/>
        <v>0</v>
      </c>
      <c r="C162" s="58">
        <f ca="1">IF(+$D$7=4,0,B161*$D$4)</f>
        <v>0</v>
      </c>
      <c r="D162" s="59">
        <f t="shared" ca="1" si="39"/>
        <v>0</v>
      </c>
      <c r="E162" s="58">
        <f t="shared" ca="1" si="44"/>
        <v>0</v>
      </c>
      <c r="F162" s="59">
        <f t="shared" ca="1" si="32"/>
        <v>0</v>
      </c>
      <c r="G162" s="58">
        <f t="shared" ca="1" si="40"/>
        <v>0</v>
      </c>
      <c r="H162" s="56">
        <f t="shared" ca="1" si="41"/>
        <v>0</v>
      </c>
    </row>
    <row r="163" spans="1:8">
      <c r="A163" s="56">
        <v>152</v>
      </c>
      <c r="B163" s="57">
        <f t="shared" ca="1" si="38"/>
        <v>0</v>
      </c>
      <c r="C163" s="58">
        <f ca="1">B162*$D$4</f>
        <v>0</v>
      </c>
      <c r="D163" s="59">
        <f t="shared" ca="1" si="39"/>
        <v>0</v>
      </c>
      <c r="E163" s="58">
        <f t="shared" ref="E163:E168" ca="1" si="45">IF(OR(C$6&gt;12.5,C163&lt;0.01),0,C$8-C163)</f>
        <v>0</v>
      </c>
      <c r="F163" s="59">
        <f t="shared" ca="1" si="32"/>
        <v>0</v>
      </c>
      <c r="G163" s="58">
        <f t="shared" ca="1" si="40"/>
        <v>0</v>
      </c>
      <c r="H163" s="56">
        <f t="shared" ca="1" si="41"/>
        <v>0</v>
      </c>
    </row>
    <row r="164" spans="1:8">
      <c r="A164" s="56">
        <v>153</v>
      </c>
      <c r="B164" s="57">
        <f t="shared" ca="1" si="38"/>
        <v>0</v>
      </c>
      <c r="C164" s="58">
        <f ca="1">IF(+$D$7=4,0,B163*$D$4)</f>
        <v>0</v>
      </c>
      <c r="D164" s="59">
        <f t="shared" ca="1" si="39"/>
        <v>0</v>
      </c>
      <c r="E164" s="58">
        <f t="shared" ca="1" si="45"/>
        <v>0</v>
      </c>
      <c r="F164" s="59">
        <f t="shared" ca="1" si="32"/>
        <v>0</v>
      </c>
      <c r="G164" s="58">
        <f t="shared" ca="1" si="40"/>
        <v>0</v>
      </c>
      <c r="H164" s="56">
        <f t="shared" ca="1" si="41"/>
        <v>0</v>
      </c>
    </row>
    <row r="165" spans="1:8">
      <c r="A165" s="56">
        <v>154</v>
      </c>
      <c r="B165" s="57">
        <f t="shared" ca="1" si="38"/>
        <v>0</v>
      </c>
      <c r="C165" s="58">
        <f ca="1">IF(+$D$7=4,0,B164*$D$4)</f>
        <v>0</v>
      </c>
      <c r="D165" s="59">
        <f t="shared" ca="1" si="39"/>
        <v>0</v>
      </c>
      <c r="E165" s="58">
        <f t="shared" ca="1" si="45"/>
        <v>0</v>
      </c>
      <c r="F165" s="59">
        <f t="shared" ca="1" si="32"/>
        <v>0</v>
      </c>
      <c r="G165" s="58">
        <f t="shared" ca="1" si="40"/>
        <v>0</v>
      </c>
      <c r="H165" s="56">
        <f t="shared" ca="1" si="41"/>
        <v>0</v>
      </c>
    </row>
    <row r="166" spans="1:8">
      <c r="A166" s="56">
        <v>155</v>
      </c>
      <c r="B166" s="57">
        <f t="shared" ca="1" si="38"/>
        <v>0</v>
      </c>
      <c r="C166" s="58">
        <f ca="1">B165*$D$4</f>
        <v>0</v>
      </c>
      <c r="D166" s="59">
        <f t="shared" ca="1" si="39"/>
        <v>0</v>
      </c>
      <c r="E166" s="58">
        <f t="shared" ca="1" si="45"/>
        <v>0</v>
      </c>
      <c r="F166" s="59">
        <f t="shared" ca="1" si="32"/>
        <v>0</v>
      </c>
      <c r="G166" s="58">
        <f t="shared" ca="1" si="40"/>
        <v>0</v>
      </c>
      <c r="H166" s="56">
        <f t="shared" ca="1" si="41"/>
        <v>0</v>
      </c>
    </row>
    <row r="167" spans="1:8">
      <c r="A167" s="56">
        <v>156</v>
      </c>
      <c r="B167" s="57">
        <f t="shared" ca="1" si="38"/>
        <v>0</v>
      </c>
      <c r="C167" s="58">
        <f ca="1">IF(+$D$7=4,0,B166*$D$4)</f>
        <v>0</v>
      </c>
      <c r="D167" s="59">
        <f t="shared" ca="1" si="39"/>
        <v>0</v>
      </c>
      <c r="E167" s="58">
        <f t="shared" ca="1" si="45"/>
        <v>0</v>
      </c>
      <c r="F167" s="59">
        <f t="shared" ca="1" si="32"/>
        <v>0</v>
      </c>
      <c r="G167" s="58">
        <f t="shared" ca="1" si="40"/>
        <v>0</v>
      </c>
      <c r="H167" s="56">
        <f t="shared" ca="1" si="41"/>
        <v>0</v>
      </c>
    </row>
    <row r="168" spans="1:8">
      <c r="A168" s="56">
        <v>157</v>
      </c>
      <c r="B168" s="57">
        <f t="shared" ca="1" si="38"/>
        <v>0</v>
      </c>
      <c r="C168" s="58">
        <f ca="1">IF(+$D$7=4,0,B167*$D$4)</f>
        <v>0</v>
      </c>
      <c r="D168" s="59">
        <f t="shared" ca="1" si="39"/>
        <v>0</v>
      </c>
      <c r="E168" s="58">
        <f t="shared" ca="1" si="45"/>
        <v>0</v>
      </c>
      <c r="F168" s="59">
        <f t="shared" ca="1" si="32"/>
        <v>0</v>
      </c>
      <c r="G168" s="58">
        <f t="shared" ca="1" si="40"/>
        <v>0</v>
      </c>
      <c r="H168" s="56">
        <f t="shared" ca="1" si="41"/>
        <v>0</v>
      </c>
    </row>
    <row r="169" spans="1:8">
      <c r="A169" s="56">
        <v>158</v>
      </c>
      <c r="B169" s="57">
        <f t="shared" ca="1" si="38"/>
        <v>0</v>
      </c>
      <c r="C169" s="58">
        <f ca="1">B168*$D$4</f>
        <v>0</v>
      </c>
      <c r="D169" s="59">
        <f t="shared" ca="1" si="39"/>
        <v>0</v>
      </c>
      <c r="E169" s="58">
        <f t="shared" ref="E169:E174" ca="1" si="46">IF(OR(C$6&gt;13,C169&lt;0.01),0,C$8-C169)</f>
        <v>0</v>
      </c>
      <c r="F169" s="59">
        <f t="shared" ca="1" si="32"/>
        <v>0</v>
      </c>
      <c r="G169" s="58">
        <f t="shared" ca="1" si="40"/>
        <v>0</v>
      </c>
      <c r="H169" s="56">
        <f t="shared" ca="1" si="41"/>
        <v>0</v>
      </c>
    </row>
    <row r="170" spans="1:8">
      <c r="A170" s="56">
        <v>159</v>
      </c>
      <c r="B170" s="57">
        <f t="shared" ca="1" si="38"/>
        <v>0</v>
      </c>
      <c r="C170" s="58">
        <f ca="1">IF(+$D$7=4,0,B169*$D$4)</f>
        <v>0</v>
      </c>
      <c r="D170" s="59">
        <f t="shared" ca="1" si="39"/>
        <v>0</v>
      </c>
      <c r="E170" s="58">
        <f t="shared" ca="1" si="46"/>
        <v>0</v>
      </c>
      <c r="F170" s="59">
        <f t="shared" ca="1" si="32"/>
        <v>0</v>
      </c>
      <c r="G170" s="58">
        <f t="shared" ca="1" si="40"/>
        <v>0</v>
      </c>
      <c r="H170" s="56">
        <f t="shared" ca="1" si="41"/>
        <v>0</v>
      </c>
    </row>
    <row r="171" spans="1:8">
      <c r="A171" s="56">
        <v>160</v>
      </c>
      <c r="B171" s="57">
        <f t="shared" ca="1" si="38"/>
        <v>0</v>
      </c>
      <c r="C171" s="58">
        <f ca="1">IF(+$D$7=4,0,B170*$D$4)</f>
        <v>0</v>
      </c>
      <c r="D171" s="59">
        <f t="shared" ca="1" si="39"/>
        <v>0</v>
      </c>
      <c r="E171" s="58">
        <f t="shared" ca="1" si="46"/>
        <v>0</v>
      </c>
      <c r="F171" s="59">
        <f t="shared" ca="1" si="32"/>
        <v>0</v>
      </c>
      <c r="G171" s="58">
        <f t="shared" ca="1" si="40"/>
        <v>0</v>
      </c>
      <c r="H171" s="56">
        <f t="shared" ca="1" si="41"/>
        <v>0</v>
      </c>
    </row>
    <row r="172" spans="1:8">
      <c r="A172" s="56">
        <v>161</v>
      </c>
      <c r="B172" s="57">
        <f t="shared" ca="1" si="38"/>
        <v>0</v>
      </c>
      <c r="C172" s="58">
        <f ca="1">B171*$D$4</f>
        <v>0</v>
      </c>
      <c r="D172" s="59">
        <f t="shared" ca="1" si="39"/>
        <v>0</v>
      </c>
      <c r="E172" s="58">
        <f t="shared" ca="1" si="46"/>
        <v>0</v>
      </c>
      <c r="F172" s="59">
        <f t="shared" ca="1" si="32"/>
        <v>0</v>
      </c>
      <c r="G172" s="58">
        <f t="shared" ca="1" si="40"/>
        <v>0</v>
      </c>
      <c r="H172" s="56">
        <f t="shared" ca="1" si="41"/>
        <v>0</v>
      </c>
    </row>
    <row r="173" spans="1:8">
      <c r="A173" s="56">
        <v>162</v>
      </c>
      <c r="B173" s="57">
        <f t="shared" ca="1" si="38"/>
        <v>0</v>
      </c>
      <c r="C173" s="58">
        <f ca="1">IF(+$D$7=4,0,B172*$D$4)</f>
        <v>0</v>
      </c>
      <c r="D173" s="59">
        <f t="shared" ca="1" si="39"/>
        <v>0</v>
      </c>
      <c r="E173" s="58">
        <f t="shared" ca="1" si="46"/>
        <v>0</v>
      </c>
      <c r="F173" s="59">
        <f t="shared" ca="1" si="32"/>
        <v>0</v>
      </c>
      <c r="G173" s="58">
        <f t="shared" ca="1" si="40"/>
        <v>0</v>
      </c>
      <c r="H173" s="56">
        <f t="shared" ca="1" si="41"/>
        <v>0</v>
      </c>
    </row>
    <row r="174" spans="1:8">
      <c r="A174" s="56">
        <v>163</v>
      </c>
      <c r="B174" s="57">
        <f t="shared" ca="1" si="38"/>
        <v>0</v>
      </c>
      <c r="C174" s="58">
        <f ca="1">IF(+$D$7=4,0,B173*$D$4)</f>
        <v>0</v>
      </c>
      <c r="D174" s="59">
        <f t="shared" ca="1" si="39"/>
        <v>0</v>
      </c>
      <c r="E174" s="58">
        <f t="shared" ca="1" si="46"/>
        <v>0</v>
      </c>
      <c r="F174" s="59">
        <f t="shared" ca="1" si="32"/>
        <v>0</v>
      </c>
      <c r="G174" s="58">
        <f t="shared" ca="1" si="40"/>
        <v>0</v>
      </c>
      <c r="H174" s="56">
        <f t="shared" ca="1" si="41"/>
        <v>0</v>
      </c>
    </row>
    <row r="175" spans="1:8">
      <c r="A175" s="56">
        <v>164</v>
      </c>
      <c r="B175" s="57">
        <f t="shared" ca="1" si="38"/>
        <v>0</v>
      </c>
      <c r="C175" s="58">
        <f ca="1">B174*$D$4</f>
        <v>0</v>
      </c>
      <c r="D175" s="59">
        <f t="shared" ca="1" si="39"/>
        <v>0</v>
      </c>
      <c r="E175" s="58">
        <f t="shared" ref="E175:E180" ca="1" si="47">IF(OR(C$6&gt;13.5,C175&lt;0.01),0,C$8-C175)</f>
        <v>0</v>
      </c>
      <c r="F175" s="59">
        <f t="shared" ca="1" si="32"/>
        <v>0</v>
      </c>
      <c r="G175" s="58">
        <f t="shared" ca="1" si="40"/>
        <v>0</v>
      </c>
      <c r="H175" s="56">
        <f t="shared" ca="1" si="41"/>
        <v>0</v>
      </c>
    </row>
    <row r="176" spans="1:8">
      <c r="A176" s="56">
        <v>165</v>
      </c>
      <c r="B176" s="57">
        <f t="shared" ca="1" si="38"/>
        <v>0</v>
      </c>
      <c r="C176" s="58">
        <f ca="1">IF(+$D$7=4,0,B175*$D$4)</f>
        <v>0</v>
      </c>
      <c r="D176" s="59">
        <f t="shared" ca="1" si="39"/>
        <v>0</v>
      </c>
      <c r="E176" s="58">
        <f t="shared" ca="1" si="47"/>
        <v>0</v>
      </c>
      <c r="F176" s="59">
        <f t="shared" ref="F176:F191" ca="1" si="48">IF(D176=0,0,F175+E176)</f>
        <v>0</v>
      </c>
      <c r="G176" s="58">
        <f t="shared" ca="1" si="40"/>
        <v>0</v>
      </c>
      <c r="H176" s="56">
        <f t="shared" ca="1" si="41"/>
        <v>0</v>
      </c>
    </row>
    <row r="177" spans="1:8">
      <c r="A177" s="56">
        <v>166</v>
      </c>
      <c r="B177" s="57">
        <f t="shared" ca="1" si="38"/>
        <v>0</v>
      </c>
      <c r="C177" s="58">
        <f ca="1">IF(+$D$7=4,0,B176*$D$4)</f>
        <v>0</v>
      </c>
      <c r="D177" s="59">
        <f t="shared" ca="1" si="39"/>
        <v>0</v>
      </c>
      <c r="E177" s="58">
        <f t="shared" ca="1" si="47"/>
        <v>0</v>
      </c>
      <c r="F177" s="59">
        <f t="shared" ca="1" si="48"/>
        <v>0</v>
      </c>
      <c r="G177" s="58">
        <f t="shared" ca="1" si="40"/>
        <v>0</v>
      </c>
      <c r="H177" s="56">
        <f t="shared" ca="1" si="41"/>
        <v>0</v>
      </c>
    </row>
    <row r="178" spans="1:8">
      <c r="A178" s="56">
        <v>167</v>
      </c>
      <c r="B178" s="57">
        <f t="shared" ca="1" si="38"/>
        <v>0</v>
      </c>
      <c r="C178" s="58">
        <f ca="1">B177*$D$4</f>
        <v>0</v>
      </c>
      <c r="D178" s="59">
        <f t="shared" ca="1" si="39"/>
        <v>0</v>
      </c>
      <c r="E178" s="58">
        <f t="shared" ca="1" si="47"/>
        <v>0</v>
      </c>
      <c r="F178" s="59">
        <f t="shared" ca="1" si="48"/>
        <v>0</v>
      </c>
      <c r="G178" s="58">
        <f t="shared" ca="1" si="40"/>
        <v>0</v>
      </c>
      <c r="H178" s="56">
        <f t="shared" ca="1" si="41"/>
        <v>0</v>
      </c>
    </row>
    <row r="179" spans="1:8">
      <c r="A179" s="56">
        <v>168</v>
      </c>
      <c r="B179" s="57">
        <f t="shared" ca="1" si="38"/>
        <v>0</v>
      </c>
      <c r="C179" s="58">
        <f ca="1">IF(+$D$7=4,0,B178*$D$4)</f>
        <v>0</v>
      </c>
      <c r="D179" s="59">
        <f t="shared" ca="1" si="39"/>
        <v>0</v>
      </c>
      <c r="E179" s="58">
        <f t="shared" ca="1" si="47"/>
        <v>0</v>
      </c>
      <c r="F179" s="59">
        <f t="shared" ca="1" si="48"/>
        <v>0</v>
      </c>
      <c r="G179" s="58">
        <f t="shared" ca="1" si="40"/>
        <v>0</v>
      </c>
      <c r="H179" s="56">
        <f t="shared" ca="1" si="41"/>
        <v>0</v>
      </c>
    </row>
    <row r="180" spans="1:8">
      <c r="A180" s="56">
        <v>169</v>
      </c>
      <c r="B180" s="57">
        <f t="shared" ca="1" si="38"/>
        <v>0</v>
      </c>
      <c r="C180" s="58">
        <f ca="1">IF(+$D$7=4,0,B179*$D$4)</f>
        <v>0</v>
      </c>
      <c r="D180" s="59">
        <f t="shared" ca="1" si="39"/>
        <v>0</v>
      </c>
      <c r="E180" s="58">
        <f t="shared" ca="1" si="47"/>
        <v>0</v>
      </c>
      <c r="F180" s="59">
        <f t="shared" ca="1" si="48"/>
        <v>0</v>
      </c>
      <c r="G180" s="58">
        <f t="shared" ca="1" si="40"/>
        <v>0</v>
      </c>
      <c r="H180" s="56">
        <f t="shared" ca="1" si="41"/>
        <v>0</v>
      </c>
    </row>
    <row r="181" spans="1:8">
      <c r="A181" s="56">
        <v>170</v>
      </c>
      <c r="B181" s="57">
        <f t="shared" ca="1" si="38"/>
        <v>0</v>
      </c>
      <c r="C181" s="58">
        <f ca="1">B180*$D$4</f>
        <v>0</v>
      </c>
      <c r="D181" s="59">
        <f t="shared" ca="1" si="39"/>
        <v>0</v>
      </c>
      <c r="E181" s="58">
        <f t="shared" ref="E181:E186" ca="1" si="49">IF(OR(C$6&gt;14,C181&lt;0.01),0,C$8-C181)</f>
        <v>0</v>
      </c>
      <c r="F181" s="59">
        <f t="shared" ca="1" si="48"/>
        <v>0</v>
      </c>
      <c r="G181" s="58">
        <f t="shared" ca="1" si="40"/>
        <v>0</v>
      </c>
      <c r="H181" s="56">
        <f t="shared" ca="1" si="41"/>
        <v>0</v>
      </c>
    </row>
    <row r="182" spans="1:8">
      <c r="A182" s="56">
        <v>171</v>
      </c>
      <c r="B182" s="57">
        <f t="shared" ca="1" si="38"/>
        <v>0</v>
      </c>
      <c r="C182" s="58">
        <f ca="1">IF(+$D$7=4,0,B181*$D$4)</f>
        <v>0</v>
      </c>
      <c r="D182" s="59">
        <f t="shared" ca="1" si="39"/>
        <v>0</v>
      </c>
      <c r="E182" s="58">
        <f t="shared" ca="1" si="49"/>
        <v>0</v>
      </c>
      <c r="F182" s="59">
        <f t="shared" ca="1" si="48"/>
        <v>0</v>
      </c>
      <c r="G182" s="58">
        <f t="shared" ca="1" si="40"/>
        <v>0</v>
      </c>
      <c r="H182" s="56">
        <f t="shared" ca="1" si="41"/>
        <v>0</v>
      </c>
    </row>
    <row r="183" spans="1:8">
      <c r="A183" s="56">
        <v>172</v>
      </c>
      <c r="B183" s="57">
        <f t="shared" ca="1" si="38"/>
        <v>0</v>
      </c>
      <c r="C183" s="58">
        <f ca="1">IF(+$D$7=4,0,B182*$D$4)</f>
        <v>0</v>
      </c>
      <c r="D183" s="59">
        <f t="shared" ca="1" si="39"/>
        <v>0</v>
      </c>
      <c r="E183" s="58">
        <f t="shared" ca="1" si="49"/>
        <v>0</v>
      </c>
      <c r="F183" s="59">
        <f t="shared" ca="1" si="48"/>
        <v>0</v>
      </c>
      <c r="G183" s="58">
        <f t="shared" ca="1" si="40"/>
        <v>0</v>
      </c>
      <c r="H183" s="56">
        <f t="shared" ca="1" si="41"/>
        <v>0</v>
      </c>
    </row>
    <row r="184" spans="1:8">
      <c r="A184" s="56">
        <v>173</v>
      </c>
      <c r="B184" s="57">
        <f t="shared" ca="1" si="38"/>
        <v>0</v>
      </c>
      <c r="C184" s="58">
        <f ca="1">B183*$D$4</f>
        <v>0</v>
      </c>
      <c r="D184" s="59">
        <f t="shared" ca="1" si="39"/>
        <v>0</v>
      </c>
      <c r="E184" s="58">
        <f t="shared" ca="1" si="49"/>
        <v>0</v>
      </c>
      <c r="F184" s="59">
        <f t="shared" ca="1" si="48"/>
        <v>0</v>
      </c>
      <c r="G184" s="58">
        <f t="shared" ca="1" si="40"/>
        <v>0</v>
      </c>
      <c r="H184" s="56">
        <f t="shared" ca="1" si="41"/>
        <v>0</v>
      </c>
    </row>
    <row r="185" spans="1:8">
      <c r="A185" s="56">
        <v>174</v>
      </c>
      <c r="B185" s="57">
        <f t="shared" ca="1" si="38"/>
        <v>0</v>
      </c>
      <c r="C185" s="58">
        <f ca="1">IF(+$D$7=4,0,B184*$D$4)</f>
        <v>0</v>
      </c>
      <c r="D185" s="59">
        <f t="shared" ca="1" si="39"/>
        <v>0</v>
      </c>
      <c r="E185" s="58">
        <f t="shared" ca="1" si="49"/>
        <v>0</v>
      </c>
      <c r="F185" s="59">
        <f t="shared" ca="1" si="48"/>
        <v>0</v>
      </c>
      <c r="G185" s="58">
        <f t="shared" ca="1" si="40"/>
        <v>0</v>
      </c>
      <c r="H185" s="56">
        <f t="shared" ca="1" si="41"/>
        <v>0</v>
      </c>
    </row>
    <row r="186" spans="1:8">
      <c r="A186" s="56">
        <v>175</v>
      </c>
      <c r="B186" s="57">
        <f t="shared" ca="1" si="38"/>
        <v>0</v>
      </c>
      <c r="C186" s="58">
        <f ca="1">IF(+$D$7=4,0,B185*$D$4)</f>
        <v>0</v>
      </c>
      <c r="D186" s="59">
        <f t="shared" ca="1" si="39"/>
        <v>0</v>
      </c>
      <c r="E186" s="58">
        <f t="shared" ca="1" si="49"/>
        <v>0</v>
      </c>
      <c r="F186" s="59">
        <f t="shared" ca="1" si="48"/>
        <v>0</v>
      </c>
      <c r="G186" s="58">
        <f t="shared" ca="1" si="40"/>
        <v>0</v>
      </c>
      <c r="H186" s="56">
        <f t="shared" ca="1" si="41"/>
        <v>0</v>
      </c>
    </row>
    <row r="187" spans="1:8">
      <c r="A187" s="56">
        <v>176</v>
      </c>
      <c r="B187" s="57">
        <f t="shared" ca="1" si="38"/>
        <v>0</v>
      </c>
      <c r="C187" s="58">
        <f ca="1">B186*$D$4</f>
        <v>0</v>
      </c>
      <c r="D187" s="59">
        <f t="shared" ca="1" si="39"/>
        <v>0</v>
      </c>
      <c r="E187" s="58">
        <f ca="1">IF(OR(C$6&gt;14.5,C187&lt;0.01),0,C$8-C187)</f>
        <v>0</v>
      </c>
      <c r="F187" s="59">
        <f t="shared" ca="1" si="48"/>
        <v>0</v>
      </c>
      <c r="G187" s="58">
        <f t="shared" ca="1" si="40"/>
        <v>0</v>
      </c>
      <c r="H187" s="56">
        <f t="shared" ca="1" si="41"/>
        <v>0</v>
      </c>
    </row>
    <row r="188" spans="1:8">
      <c r="A188" s="56">
        <v>177</v>
      </c>
      <c r="B188" s="57">
        <f ca="1">IF(B187&lt;1,0,B187-E188)</f>
        <v>0</v>
      </c>
      <c r="C188" s="58">
        <f ca="1">IF(+$D$7=4,0,B187*$D$4)</f>
        <v>0</v>
      </c>
      <c r="D188" s="59">
        <f ca="1">IF(B188=0,0,D187+C188)</f>
        <v>0</v>
      </c>
      <c r="E188" s="58">
        <f ca="1">IF(OR(C$6&gt;14.5,C188&lt;0.01),0,C$8-C188)</f>
        <v>0</v>
      </c>
      <c r="F188" s="59">
        <f t="shared" ca="1" si="48"/>
        <v>0</v>
      </c>
      <c r="G188" s="58">
        <f t="shared" ca="1" si="40"/>
        <v>0</v>
      </c>
      <c r="H188" s="56">
        <f t="shared" ca="1" si="41"/>
        <v>0</v>
      </c>
    </row>
    <row r="189" spans="1:8">
      <c r="A189" s="56">
        <v>178</v>
      </c>
      <c r="B189" s="57">
        <f ca="1">IF(B188&lt;1,0,B188-E189)</f>
        <v>0</v>
      </c>
      <c r="C189" s="58">
        <f ca="1">IF(+$D$7=4,0,B188*$D$4)</f>
        <v>0</v>
      </c>
      <c r="D189" s="59">
        <f ca="1">IF(B189=0,0,D188+C189)</f>
        <v>0</v>
      </c>
      <c r="E189" s="58">
        <f ca="1">IF(OR(C$6&gt;14.5,C189&lt;0.01),0,C$8-C189)</f>
        <v>0</v>
      </c>
      <c r="F189" s="59">
        <f t="shared" ca="1" si="48"/>
        <v>0</v>
      </c>
      <c r="G189" s="58">
        <f t="shared" ca="1" si="40"/>
        <v>0</v>
      </c>
      <c r="H189" s="56">
        <f t="shared" ca="1" si="41"/>
        <v>0</v>
      </c>
    </row>
    <row r="190" spans="1:8">
      <c r="A190" s="56">
        <v>179</v>
      </c>
      <c r="B190" s="57">
        <f ca="1">IF(B189&lt;1,0,B189-E190)</f>
        <v>0</v>
      </c>
      <c r="C190" s="58">
        <f ca="1">B189*$D$4</f>
        <v>0</v>
      </c>
      <c r="D190" s="59">
        <f ca="1">IF(B190=0,0,D189+C190)</f>
        <v>0</v>
      </c>
      <c r="E190" s="58">
        <f ca="1">IF(OR(C$6&gt;14.5,C190&lt;0.01),0,C$8-C190)</f>
        <v>0</v>
      </c>
      <c r="F190" s="59">
        <f t="shared" ca="1" si="48"/>
        <v>0</v>
      </c>
      <c r="G190" s="58">
        <f t="shared" ca="1" si="40"/>
        <v>0</v>
      </c>
      <c r="H190" s="56">
        <f t="shared" ca="1" si="41"/>
        <v>0</v>
      </c>
    </row>
    <row r="191" spans="1:8" ht="19.5" thickBot="1">
      <c r="A191" s="60">
        <v>180</v>
      </c>
      <c r="B191" s="61">
        <f ca="1">IF(B190&lt;1,0,B190-E191)</f>
        <v>0</v>
      </c>
      <c r="C191" s="58">
        <f ca="1">IF(+$D$7=4,0,B190*$D$4)</f>
        <v>0</v>
      </c>
      <c r="D191" s="62">
        <f ca="1">IF(B191=0,0,D190+C191)</f>
        <v>0</v>
      </c>
      <c r="E191" s="58">
        <f ca="1">IF(OR(C$6&gt;14.5,C191&lt;0.01),0,C$8-C191)</f>
        <v>0</v>
      </c>
      <c r="F191" s="62">
        <f t="shared" ca="1" si="48"/>
        <v>0</v>
      </c>
      <c r="G191" s="63">
        <f ca="1">IF(C191&lt;1,0,$C$8*A191)</f>
        <v>0</v>
      </c>
      <c r="H191" s="60">
        <f t="shared" ca="1" si="41"/>
        <v>0</v>
      </c>
    </row>
    <row r="192" spans="1:8" ht="19.5" thickBot="1">
      <c r="A192" s="64"/>
      <c r="B192" s="65" t="s">
        <v>63</v>
      </c>
      <c r="C192" s="66">
        <f ca="1">SUM(C12:C191)</f>
        <v>0</v>
      </c>
      <c r="D192" s="66"/>
      <c r="E192" s="66">
        <f ca="1">SUM(E12:E191)</f>
        <v>0</v>
      </c>
      <c r="F192" s="67"/>
      <c r="G192" s="66">
        <f ca="1">E192+C192</f>
        <v>0</v>
      </c>
      <c r="H192" s="64"/>
    </row>
  </sheetData>
  <mergeCells count="3">
    <mergeCell ref="J2:U2"/>
    <mergeCell ref="V2:AG2"/>
    <mergeCell ref="AH2:AS2"/>
  </mergeCells>
  <conditionalFormatting sqref="J2:AS3">
    <cfRule type="cellIs" dxfId="46" priority="1" operator="equal">
      <formula>0</formula>
    </cfRule>
  </conditionalFormatting>
  <conditionalFormatting sqref="J2:AS3">
    <cfRule type="cellIs" dxfId="45" priority="2" operator="equal">
      <formula>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8">
    <tabColor rgb="FF92D050"/>
  </sheetPr>
  <dimension ref="A1:AS192"/>
  <sheetViews>
    <sheetView topLeftCell="A2" workbookViewId="0">
      <selection activeCell="F4" sqref="F4"/>
    </sheetView>
  </sheetViews>
  <sheetFormatPr baseColWidth="10" defaultColWidth="11.42578125" defaultRowHeight="18.75"/>
  <cols>
    <col min="1" max="1" width="14.140625" style="34" bestFit="1" customWidth="1"/>
    <col min="2" max="2" width="14.7109375" style="34" bestFit="1" customWidth="1"/>
    <col min="3" max="3" width="9" style="34" bestFit="1" customWidth="1"/>
    <col min="4" max="4" width="9.42578125" style="34" bestFit="1" customWidth="1"/>
    <col min="5" max="5" width="9.5703125" style="34" bestFit="1" customWidth="1"/>
    <col min="6" max="6" width="17" style="34" bestFit="1" customWidth="1"/>
    <col min="7" max="7" width="12.7109375" style="34" bestFit="1" customWidth="1"/>
    <col min="8" max="8" width="2" style="35" bestFit="1" customWidth="1"/>
    <col min="9" max="9" width="18.28515625" style="35" bestFit="1" customWidth="1"/>
    <col min="10" max="10" width="5.5703125" style="35" bestFit="1" customWidth="1"/>
    <col min="11" max="11" width="8" style="35" bestFit="1" customWidth="1"/>
    <col min="12" max="12" width="7.140625" style="35" bestFit="1" customWidth="1"/>
    <col min="13" max="13" width="9.42578125" style="35" bestFit="1" customWidth="1"/>
    <col min="14" max="14" width="9.5703125" style="35" bestFit="1" customWidth="1"/>
    <col min="15" max="16" width="12.7109375" style="35" bestFit="1" customWidth="1"/>
    <col min="17" max="17" width="5.5703125" style="35" bestFit="1" customWidth="1"/>
    <col min="18" max="19" width="5.28515625" style="35" bestFit="1" customWidth="1"/>
    <col min="20" max="20" width="4.85546875" style="35" bestFit="1" customWidth="1"/>
    <col min="21" max="21" width="5.42578125" style="35" bestFit="1" customWidth="1"/>
    <col min="22" max="22" width="4.5703125" style="35" bestFit="1" customWidth="1"/>
    <col min="23" max="23" width="5.5703125" style="35" bestFit="1" customWidth="1"/>
    <col min="24" max="24" width="5" style="35" bestFit="1" customWidth="1"/>
    <col min="25" max="25" width="5.7109375" style="35" bestFit="1" customWidth="1"/>
    <col min="26" max="26" width="5" style="35" bestFit="1" customWidth="1"/>
    <col min="27" max="27" width="6" style="35" bestFit="1" customWidth="1"/>
    <col min="28" max="28" width="4.85546875" style="35" bestFit="1" customWidth="1"/>
    <col min="29" max="29" width="4.5703125" style="35" bestFit="1" customWidth="1"/>
    <col min="30" max="31" width="5.28515625" style="35" bestFit="1" customWidth="1"/>
    <col min="32" max="32" width="4.85546875" style="35" bestFit="1" customWidth="1"/>
    <col min="33" max="33" width="5.42578125" style="35" bestFit="1" customWidth="1"/>
    <col min="34" max="34" width="4.5703125" style="35" bestFit="1" customWidth="1"/>
    <col min="35" max="35" width="5.5703125" style="35" bestFit="1" customWidth="1"/>
    <col min="36" max="36" width="5" style="35" bestFit="1" customWidth="1"/>
    <col min="37" max="37" width="5.7109375" style="35" bestFit="1" customWidth="1"/>
    <col min="38" max="38" width="5" style="35" bestFit="1" customWidth="1"/>
    <col min="39" max="39" width="6" style="35" bestFit="1" customWidth="1"/>
    <col min="40" max="40" width="4.85546875" style="35" bestFit="1" customWidth="1"/>
    <col min="41" max="41" width="4.5703125" style="35" bestFit="1" customWidth="1"/>
    <col min="42" max="43" width="5.28515625" style="35" bestFit="1" customWidth="1"/>
    <col min="44" max="44" width="4.85546875" style="35" bestFit="1" customWidth="1"/>
    <col min="45" max="45" width="5.42578125" style="35" bestFit="1" customWidth="1"/>
    <col min="46" max="16384" width="11.42578125" style="35"/>
  </cols>
  <sheetData>
    <row r="1" spans="1:45" ht="18.75" hidden="1" customHeight="1">
      <c r="B1" s="2"/>
      <c r="I1" s="109" t="s">
        <v>221</v>
      </c>
      <c r="J1" s="110">
        <f ca="1">+K12</f>
        <v>0</v>
      </c>
      <c r="K1" s="111">
        <f t="shared" ref="K1:AS1" ca="1" si="0">J1-K5</f>
        <v>0</v>
      </c>
      <c r="L1" s="111">
        <f t="shared" ca="1" si="0"/>
        <v>0</v>
      </c>
      <c r="M1" s="111">
        <f t="shared" ca="1" si="0"/>
        <v>0</v>
      </c>
      <c r="N1" s="111">
        <f t="shared" ca="1" si="0"/>
        <v>0</v>
      </c>
      <c r="O1" s="111">
        <f t="shared" ca="1" si="0"/>
        <v>0</v>
      </c>
      <c r="P1" s="111">
        <f t="shared" ca="1" si="0"/>
        <v>0</v>
      </c>
      <c r="Q1" s="111">
        <f t="shared" ca="1" si="0"/>
        <v>0</v>
      </c>
      <c r="R1" s="111">
        <f t="shared" ca="1" si="0"/>
        <v>0</v>
      </c>
      <c r="S1" s="111">
        <f t="shared" ca="1" si="0"/>
        <v>0</v>
      </c>
      <c r="T1" s="111">
        <f t="shared" ca="1" si="0"/>
        <v>0</v>
      </c>
      <c r="U1" s="112">
        <f t="shared" ca="1" si="0"/>
        <v>0</v>
      </c>
      <c r="V1" s="110">
        <f t="shared" ca="1" si="0"/>
        <v>0</v>
      </c>
      <c r="W1" s="111">
        <f t="shared" ca="1" si="0"/>
        <v>0</v>
      </c>
      <c r="X1" s="111">
        <f t="shared" ca="1" si="0"/>
        <v>0</v>
      </c>
      <c r="Y1" s="111">
        <f t="shared" ca="1" si="0"/>
        <v>0</v>
      </c>
      <c r="Z1" s="111">
        <f t="shared" ca="1" si="0"/>
        <v>0</v>
      </c>
      <c r="AA1" s="111">
        <f t="shared" ca="1" si="0"/>
        <v>0</v>
      </c>
      <c r="AB1" s="111">
        <f t="shared" ca="1" si="0"/>
        <v>0</v>
      </c>
      <c r="AC1" s="111">
        <f t="shared" ca="1" si="0"/>
        <v>0</v>
      </c>
      <c r="AD1" s="111">
        <f t="shared" ca="1" si="0"/>
        <v>0</v>
      </c>
      <c r="AE1" s="111">
        <f t="shared" ca="1" si="0"/>
        <v>0</v>
      </c>
      <c r="AF1" s="111">
        <f t="shared" ca="1" si="0"/>
        <v>0</v>
      </c>
      <c r="AG1" s="112">
        <f t="shared" ca="1" si="0"/>
        <v>0</v>
      </c>
      <c r="AH1" s="110">
        <f t="shared" ca="1" si="0"/>
        <v>0</v>
      </c>
      <c r="AI1" s="111">
        <f t="shared" ca="1" si="0"/>
        <v>0</v>
      </c>
      <c r="AJ1" s="111">
        <f t="shared" ca="1" si="0"/>
        <v>0</v>
      </c>
      <c r="AK1" s="111">
        <f t="shared" ca="1" si="0"/>
        <v>0</v>
      </c>
      <c r="AL1" s="111">
        <f t="shared" ca="1" si="0"/>
        <v>0</v>
      </c>
      <c r="AM1" s="111">
        <f t="shared" ca="1" si="0"/>
        <v>0</v>
      </c>
      <c r="AN1" s="111">
        <f t="shared" ca="1" si="0"/>
        <v>0</v>
      </c>
      <c r="AO1" s="111">
        <f t="shared" ca="1" si="0"/>
        <v>0</v>
      </c>
      <c r="AP1" s="111">
        <f t="shared" ca="1" si="0"/>
        <v>0</v>
      </c>
      <c r="AQ1" s="111">
        <f t="shared" ca="1" si="0"/>
        <v>0</v>
      </c>
      <c r="AR1" s="111">
        <f t="shared" ca="1" si="0"/>
        <v>0</v>
      </c>
      <c r="AS1" s="112">
        <f t="shared" ca="1" si="0"/>
        <v>0</v>
      </c>
    </row>
    <row r="2" spans="1:45" ht="21.75" thickBot="1">
      <c r="A2" s="68" t="s">
        <v>64</v>
      </c>
      <c r="J2" s="1257" t="s">
        <v>121</v>
      </c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  <c r="V2" s="1258" t="s">
        <v>122</v>
      </c>
      <c r="W2" s="1258"/>
      <c r="X2" s="1258"/>
      <c r="Y2" s="1258"/>
      <c r="Z2" s="1258"/>
      <c r="AA2" s="1258"/>
      <c r="AB2" s="1258"/>
      <c r="AC2" s="1258"/>
      <c r="AD2" s="1258"/>
      <c r="AE2" s="1258"/>
      <c r="AF2" s="1258"/>
      <c r="AG2" s="1258"/>
      <c r="AH2" s="1257" t="s">
        <v>123</v>
      </c>
      <c r="AI2" s="1257"/>
      <c r="AJ2" s="1257"/>
      <c r="AK2" s="1257"/>
      <c r="AL2" s="1257"/>
      <c r="AM2" s="1257"/>
      <c r="AN2" s="1257"/>
      <c r="AO2" s="1257"/>
      <c r="AP2" s="1257"/>
      <c r="AQ2" s="1257"/>
      <c r="AR2" s="1257"/>
      <c r="AS2" s="1257"/>
    </row>
    <row r="3" spans="1:45" ht="19.5" thickBot="1">
      <c r="A3" s="36"/>
      <c r="B3" s="37" t="s">
        <v>49</v>
      </c>
      <c r="C3" s="38">
        <f ca="1">+'Inversión-Financiación'!F45</f>
        <v>0</v>
      </c>
      <c r="D3" s="36"/>
      <c r="E3" s="36"/>
      <c r="F3" s="36" t="s">
        <v>366</v>
      </c>
      <c r="G3" s="36"/>
      <c r="H3" s="36"/>
      <c r="J3" s="15">
        <f>+[1]Cuestionario!$C$8</f>
        <v>0</v>
      </c>
      <c r="K3" s="15">
        <f>EDATE(J3,1)</f>
        <v>31</v>
      </c>
      <c r="L3" s="15">
        <f t="shared" ref="L3:U3" si="1">EDATE(K3,1)</f>
        <v>59</v>
      </c>
      <c r="M3" s="15">
        <f t="shared" si="1"/>
        <v>88</v>
      </c>
      <c r="N3" s="15">
        <f t="shared" si="1"/>
        <v>119</v>
      </c>
      <c r="O3" s="15">
        <f t="shared" si="1"/>
        <v>149</v>
      </c>
      <c r="P3" s="15">
        <f t="shared" si="1"/>
        <v>180</v>
      </c>
      <c r="Q3" s="15">
        <f t="shared" si="1"/>
        <v>210</v>
      </c>
      <c r="R3" s="15">
        <f t="shared" si="1"/>
        <v>241</v>
      </c>
      <c r="S3" s="15">
        <f t="shared" si="1"/>
        <v>272</v>
      </c>
      <c r="T3" s="15">
        <f t="shared" si="1"/>
        <v>302</v>
      </c>
      <c r="U3" s="70">
        <f t="shared" si="1"/>
        <v>333</v>
      </c>
      <c r="V3" s="72">
        <f>EDATE(U3,1)</f>
        <v>363</v>
      </c>
      <c r="W3" s="73">
        <f t="shared" ref="W3:AS3" si="2">EDATE(V3,1)</f>
        <v>394</v>
      </c>
      <c r="X3" s="73">
        <f t="shared" si="2"/>
        <v>425</v>
      </c>
      <c r="Y3" s="73">
        <f t="shared" si="2"/>
        <v>453</v>
      </c>
      <c r="Z3" s="73">
        <f t="shared" si="2"/>
        <v>484</v>
      </c>
      <c r="AA3" s="73">
        <f t="shared" si="2"/>
        <v>514</v>
      </c>
      <c r="AB3" s="73">
        <f t="shared" si="2"/>
        <v>545</v>
      </c>
      <c r="AC3" s="73">
        <f t="shared" si="2"/>
        <v>575</v>
      </c>
      <c r="AD3" s="73">
        <f t="shared" si="2"/>
        <v>606</v>
      </c>
      <c r="AE3" s="73">
        <f t="shared" si="2"/>
        <v>637</v>
      </c>
      <c r="AF3" s="73">
        <f t="shared" si="2"/>
        <v>667</v>
      </c>
      <c r="AG3" s="74">
        <f t="shared" si="2"/>
        <v>698</v>
      </c>
      <c r="AH3" s="71">
        <f t="shared" si="2"/>
        <v>728</v>
      </c>
      <c r="AI3" s="15">
        <f t="shared" si="2"/>
        <v>759</v>
      </c>
      <c r="AJ3" s="15">
        <f t="shared" si="2"/>
        <v>790</v>
      </c>
      <c r="AK3" s="15">
        <f t="shared" si="2"/>
        <v>818</v>
      </c>
      <c r="AL3" s="15">
        <f t="shared" si="2"/>
        <v>849</v>
      </c>
      <c r="AM3" s="15">
        <f t="shared" si="2"/>
        <v>879</v>
      </c>
      <c r="AN3" s="15">
        <f t="shared" si="2"/>
        <v>910</v>
      </c>
      <c r="AO3" s="15">
        <f t="shared" si="2"/>
        <v>940</v>
      </c>
      <c r="AP3" s="15">
        <f t="shared" si="2"/>
        <v>971</v>
      </c>
      <c r="AQ3" s="15">
        <f t="shared" si="2"/>
        <v>1002</v>
      </c>
      <c r="AR3" s="15">
        <f t="shared" si="2"/>
        <v>1032</v>
      </c>
      <c r="AS3" s="15">
        <f t="shared" si="2"/>
        <v>1063</v>
      </c>
    </row>
    <row r="4" spans="1:45" ht="19.5" thickBot="1">
      <c r="A4" s="36"/>
      <c r="B4" s="39" t="s">
        <v>50</v>
      </c>
      <c r="C4" s="40">
        <f>+'Inversión-Financiación'!F46</f>
        <v>0.04</v>
      </c>
      <c r="D4" s="41">
        <f>C4/D7</f>
        <v>3.3333333333333335E-3</v>
      </c>
      <c r="E4" s="36"/>
      <c r="F4" s="259">
        <f>+'Inversión-Financiación'!F52</f>
        <v>5</v>
      </c>
      <c r="G4" s="36"/>
      <c r="H4" s="36"/>
      <c r="I4" s="105" t="s">
        <v>219</v>
      </c>
      <c r="J4" s="106">
        <f>$L12</f>
        <v>0</v>
      </c>
      <c r="K4" s="107">
        <f>$L13</f>
        <v>0</v>
      </c>
      <c r="L4" s="107">
        <f>$L14</f>
        <v>0</v>
      </c>
      <c r="M4" s="107">
        <f>$L15</f>
        <v>0</v>
      </c>
      <c r="N4" s="107">
        <f ca="1">$L16</f>
        <v>0</v>
      </c>
      <c r="O4" s="107">
        <f ca="1">$L17</f>
        <v>0</v>
      </c>
      <c r="P4" s="107">
        <f ca="1">$L18</f>
        <v>0</v>
      </c>
      <c r="Q4" s="107">
        <f ca="1">$L19</f>
        <v>0</v>
      </c>
      <c r="R4" s="107">
        <f ca="1">$L20</f>
        <v>0</v>
      </c>
      <c r="S4" s="107">
        <f ca="1">$L21</f>
        <v>0</v>
      </c>
      <c r="T4" s="107">
        <f ca="1">$L22</f>
        <v>0</v>
      </c>
      <c r="U4" s="108">
        <f ca="1">$L23</f>
        <v>0</v>
      </c>
      <c r="V4" s="106">
        <f ca="1">$L24</f>
        <v>0</v>
      </c>
      <c r="W4" s="107">
        <f ca="1">$L25</f>
        <v>0</v>
      </c>
      <c r="X4" s="107">
        <f ca="1">$L26</f>
        <v>0</v>
      </c>
      <c r="Y4" s="107">
        <f ca="1">$L27</f>
        <v>0</v>
      </c>
      <c r="Z4" s="107">
        <f ca="1">$L28</f>
        <v>0</v>
      </c>
      <c r="AA4" s="107">
        <f ca="1">$L29</f>
        <v>0</v>
      </c>
      <c r="AB4" s="107">
        <f ca="1">$L30</f>
        <v>0</v>
      </c>
      <c r="AC4" s="107">
        <f ca="1">$L31</f>
        <v>0</v>
      </c>
      <c r="AD4" s="107">
        <f ca="1">$L32</f>
        <v>0</v>
      </c>
      <c r="AE4" s="107">
        <f ca="1">$L33</f>
        <v>0</v>
      </c>
      <c r="AF4" s="107">
        <f ca="1">$L34</f>
        <v>0</v>
      </c>
      <c r="AG4" s="108">
        <f ca="1">$L35</f>
        <v>0</v>
      </c>
      <c r="AH4" s="106">
        <f ca="1">$L36</f>
        <v>0</v>
      </c>
      <c r="AI4" s="107">
        <f ca="1">$L37</f>
        <v>0</v>
      </c>
      <c r="AJ4" s="107">
        <f ca="1">$L38</f>
        <v>0</v>
      </c>
      <c r="AK4" s="107">
        <f ca="1">$L39</f>
        <v>0</v>
      </c>
      <c r="AL4" s="107">
        <f ca="1">$L40</f>
        <v>0</v>
      </c>
      <c r="AM4" s="107">
        <f ca="1">$L41</f>
        <v>0</v>
      </c>
      <c r="AN4" s="107">
        <f ca="1">$L42</f>
        <v>0</v>
      </c>
      <c r="AO4" s="107">
        <f ca="1">$L43</f>
        <v>0</v>
      </c>
      <c r="AP4" s="107">
        <f ca="1">$L44</f>
        <v>0</v>
      </c>
      <c r="AQ4" s="107">
        <f ca="1">$L45</f>
        <v>0</v>
      </c>
      <c r="AR4" s="107">
        <f ca="1">$L46</f>
        <v>0</v>
      </c>
      <c r="AS4" s="108">
        <f ca="1">$L47</f>
        <v>0</v>
      </c>
    </row>
    <row r="5" spans="1:45">
      <c r="A5" s="36"/>
      <c r="B5" s="39" t="s">
        <v>51</v>
      </c>
      <c r="C5" s="229">
        <f>+'Inversión-Financiación'!F47</f>
        <v>4</v>
      </c>
      <c r="D5" s="43">
        <f>D$7*C5</f>
        <v>48</v>
      </c>
      <c r="E5" s="36"/>
      <c r="F5" s="36"/>
      <c r="G5" s="36"/>
      <c r="H5" s="36"/>
      <c r="I5" s="109" t="s">
        <v>220</v>
      </c>
      <c r="J5" s="110">
        <f>$N12</f>
        <v>0</v>
      </c>
      <c r="K5" s="107">
        <f>+$N13</f>
        <v>0</v>
      </c>
      <c r="L5" s="111">
        <f>$N14</f>
        <v>0</v>
      </c>
      <c r="M5" s="111">
        <f>$N15</f>
        <v>0</v>
      </c>
      <c r="N5" s="111">
        <f ca="1">$N16</f>
        <v>0</v>
      </c>
      <c r="O5" s="111">
        <f ca="1">$N17</f>
        <v>0</v>
      </c>
      <c r="P5" s="111">
        <f ca="1">$N18</f>
        <v>0</v>
      </c>
      <c r="Q5" s="111">
        <f ca="1">$N19</f>
        <v>0</v>
      </c>
      <c r="R5" s="111">
        <f ca="1">$N20</f>
        <v>0</v>
      </c>
      <c r="S5" s="111">
        <f ca="1">$N21</f>
        <v>0</v>
      </c>
      <c r="T5" s="111">
        <f ca="1">$N22</f>
        <v>0</v>
      </c>
      <c r="U5" s="112">
        <f ca="1">$N23</f>
        <v>0</v>
      </c>
      <c r="V5" s="110">
        <f ca="1">$N24</f>
        <v>0</v>
      </c>
      <c r="W5" s="111">
        <f ca="1">$N25</f>
        <v>0</v>
      </c>
      <c r="X5" s="111">
        <f ca="1">$N26</f>
        <v>0</v>
      </c>
      <c r="Y5" s="111">
        <f ca="1">$N27</f>
        <v>0</v>
      </c>
      <c r="Z5" s="111">
        <f ca="1">$N28</f>
        <v>0</v>
      </c>
      <c r="AA5" s="111">
        <f ca="1">$N29</f>
        <v>0</v>
      </c>
      <c r="AB5" s="111">
        <f ca="1">$N30</f>
        <v>0</v>
      </c>
      <c r="AC5" s="111">
        <f ca="1">$N31</f>
        <v>0</v>
      </c>
      <c r="AD5" s="111">
        <f ca="1">$N32</f>
        <v>0</v>
      </c>
      <c r="AE5" s="111">
        <f ca="1">$N33</f>
        <v>0</v>
      </c>
      <c r="AF5" s="111">
        <f ca="1">$N34</f>
        <v>0</v>
      </c>
      <c r="AG5" s="112">
        <f ca="1">$N35</f>
        <v>0</v>
      </c>
      <c r="AH5" s="110">
        <f ca="1">$N36</f>
        <v>0</v>
      </c>
      <c r="AI5" s="111">
        <f ca="1">$N37</f>
        <v>0</v>
      </c>
      <c r="AJ5" s="111">
        <f ca="1">$N38</f>
        <v>0</v>
      </c>
      <c r="AK5" s="111">
        <f ca="1">$N39</f>
        <v>0</v>
      </c>
      <c r="AL5" s="111">
        <f ca="1">$N40</f>
        <v>0</v>
      </c>
      <c r="AM5" s="111">
        <f ca="1">$N41</f>
        <v>0</v>
      </c>
      <c r="AN5" s="111">
        <f ca="1">$N42</f>
        <v>0</v>
      </c>
      <c r="AO5" s="111">
        <f ca="1">$N43</f>
        <v>0</v>
      </c>
      <c r="AP5" s="111">
        <f ca="1">$N44</f>
        <v>0</v>
      </c>
      <c r="AQ5" s="111">
        <f ca="1">$N45</f>
        <v>0</v>
      </c>
      <c r="AR5" s="111">
        <f ca="1">$N46</f>
        <v>0</v>
      </c>
      <c r="AS5" s="112">
        <f ca="1">$N47</f>
        <v>0</v>
      </c>
    </row>
    <row r="6" spans="1:45">
      <c r="A6" s="36"/>
      <c r="B6" s="39" t="s">
        <v>52</v>
      </c>
      <c r="C6" s="229">
        <f>+'Inversión-Financiación'!F48</f>
        <v>0</v>
      </c>
      <c r="D6" s="43">
        <f>C6*12</f>
        <v>0</v>
      </c>
      <c r="E6" s="36"/>
      <c r="F6" s="36"/>
      <c r="G6" s="36"/>
      <c r="H6" s="36"/>
      <c r="I6" s="109" t="s">
        <v>221</v>
      </c>
      <c r="J6" s="111">
        <f>IF(J4=0,0,J1)</f>
        <v>0</v>
      </c>
      <c r="K6" s="111">
        <f>IF(K4=0,0,K1)</f>
        <v>0</v>
      </c>
      <c r="L6" s="111">
        <f>IF(L4=0,0,L1)</f>
        <v>0</v>
      </c>
      <c r="M6" s="111">
        <f>IF(M4=0,0,M1)</f>
        <v>0</v>
      </c>
      <c r="N6" s="111">
        <f t="shared" ref="N6:AS6" ca="1" si="3">IF(N4=0,0,N1)</f>
        <v>0</v>
      </c>
      <c r="O6" s="111">
        <f t="shared" ca="1" si="3"/>
        <v>0</v>
      </c>
      <c r="P6" s="111">
        <f t="shared" ca="1" si="3"/>
        <v>0</v>
      </c>
      <c r="Q6" s="111">
        <f t="shared" ca="1" si="3"/>
        <v>0</v>
      </c>
      <c r="R6" s="111">
        <f t="shared" ca="1" si="3"/>
        <v>0</v>
      </c>
      <c r="S6" s="111">
        <f t="shared" ca="1" si="3"/>
        <v>0</v>
      </c>
      <c r="T6" s="111">
        <f t="shared" ca="1" si="3"/>
        <v>0</v>
      </c>
      <c r="U6" s="111">
        <f t="shared" ca="1" si="3"/>
        <v>0</v>
      </c>
      <c r="V6" s="111">
        <f t="shared" ca="1" si="3"/>
        <v>0</v>
      </c>
      <c r="W6" s="111">
        <f t="shared" ca="1" si="3"/>
        <v>0</v>
      </c>
      <c r="X6" s="111">
        <f t="shared" ca="1" si="3"/>
        <v>0</v>
      </c>
      <c r="Y6" s="111">
        <f t="shared" ca="1" si="3"/>
        <v>0</v>
      </c>
      <c r="Z6" s="111">
        <f t="shared" ca="1" si="3"/>
        <v>0</v>
      </c>
      <c r="AA6" s="111">
        <f t="shared" ca="1" si="3"/>
        <v>0</v>
      </c>
      <c r="AB6" s="111">
        <f t="shared" ca="1" si="3"/>
        <v>0</v>
      </c>
      <c r="AC6" s="111">
        <f t="shared" ca="1" si="3"/>
        <v>0</v>
      </c>
      <c r="AD6" s="111">
        <f t="shared" ca="1" si="3"/>
        <v>0</v>
      </c>
      <c r="AE6" s="111">
        <f t="shared" ca="1" si="3"/>
        <v>0</v>
      </c>
      <c r="AF6" s="111">
        <f t="shared" ca="1" si="3"/>
        <v>0</v>
      </c>
      <c r="AG6" s="111">
        <f t="shared" ca="1" si="3"/>
        <v>0</v>
      </c>
      <c r="AH6" s="111">
        <f t="shared" ca="1" si="3"/>
        <v>0</v>
      </c>
      <c r="AI6" s="111">
        <f t="shared" ca="1" si="3"/>
        <v>0</v>
      </c>
      <c r="AJ6" s="111">
        <f t="shared" ca="1" si="3"/>
        <v>0</v>
      </c>
      <c r="AK6" s="111">
        <f t="shared" ca="1" si="3"/>
        <v>0</v>
      </c>
      <c r="AL6" s="111">
        <f t="shared" ca="1" si="3"/>
        <v>0</v>
      </c>
      <c r="AM6" s="111">
        <f t="shared" ca="1" si="3"/>
        <v>0</v>
      </c>
      <c r="AN6" s="111">
        <f t="shared" ca="1" si="3"/>
        <v>0</v>
      </c>
      <c r="AO6" s="111">
        <f t="shared" ca="1" si="3"/>
        <v>0</v>
      </c>
      <c r="AP6" s="111">
        <f t="shared" ca="1" si="3"/>
        <v>0</v>
      </c>
      <c r="AQ6" s="111">
        <f t="shared" ca="1" si="3"/>
        <v>0</v>
      </c>
      <c r="AR6" s="111">
        <f t="shared" ca="1" si="3"/>
        <v>0</v>
      </c>
      <c r="AS6" s="111">
        <f t="shared" ca="1" si="3"/>
        <v>0</v>
      </c>
    </row>
    <row r="7" spans="1:45" ht="19.5" thickBot="1">
      <c r="A7" s="36"/>
      <c r="B7" s="39" t="s">
        <v>53</v>
      </c>
      <c r="C7" s="44" t="s">
        <v>54</v>
      </c>
      <c r="D7" s="45">
        <f>IF(C7="MENSUAL",12)+IF(C7="BIMENSUAL",6)+IF(C7="TRIMESTRAL",4)+IF(C7="CUATRIMESTRAL",3)+IF(C7="SEMESTRAL",2)+IF(C7="ANUAL",1)</f>
        <v>12</v>
      </c>
      <c r="E7" s="36"/>
      <c r="F7" s="36"/>
      <c r="G7" s="36" t="s">
        <v>46</v>
      </c>
      <c r="H7" s="36" t="s">
        <v>46</v>
      </c>
      <c r="I7" s="109" t="s">
        <v>222</v>
      </c>
      <c r="J7" s="110">
        <f ca="1">($K24)*(IF(J$4=0,0,1))</f>
        <v>0</v>
      </c>
      <c r="K7" s="111">
        <f ca="1">((($K25)))*(IF(K$4=0,0,1))</f>
        <v>0</v>
      </c>
      <c r="L7" s="111">
        <f ca="1">($K26)*(IF(L$4=0,0,1))</f>
        <v>0</v>
      </c>
      <c r="M7" s="111">
        <f ca="1">($K27)*(IF(M$4=0,0,1))</f>
        <v>0</v>
      </c>
      <c r="N7" s="111">
        <f ca="1">($K28)*(IF(N$4=0,0,1))</f>
        <v>0</v>
      </c>
      <c r="O7" s="111">
        <f ca="1">($K29)*(IF(O$4=0,0,1))</f>
        <v>0</v>
      </c>
      <c r="P7" s="111">
        <f ca="1">($K30)*(IF(P$4=0,0,1))</f>
        <v>0</v>
      </c>
      <c r="Q7" s="111">
        <f ca="1">($K31)*(IF(Q$4=0,0,1))</f>
        <v>0</v>
      </c>
      <c r="R7" s="111">
        <f ca="1">($K32)*(IF(R$4=0,0,1))</f>
        <v>0</v>
      </c>
      <c r="S7" s="111">
        <f ca="1">($K33)*(IF(S$4=0,0,1))</f>
        <v>0</v>
      </c>
      <c r="T7" s="111">
        <f ca="1">($K34)*(IF(T$4=0,0,1))</f>
        <v>0</v>
      </c>
      <c r="U7" s="112">
        <f ca="1">($K35)*(IF(U$4=0,0,1))</f>
        <v>0</v>
      </c>
      <c r="V7" s="110">
        <f ca="1">($K36)*(IF(V$4=0,0,1))</f>
        <v>0</v>
      </c>
      <c r="W7" s="111">
        <f ca="1">($K37)*(IF(W$4=0,0,1))</f>
        <v>0</v>
      </c>
      <c r="X7" s="111">
        <f ca="1">($K38)*(IF(X$4=0,0,1))</f>
        <v>0</v>
      </c>
      <c r="Y7" s="111">
        <f ca="1">($K39)*(IF(Y$4=0,0,1))</f>
        <v>0</v>
      </c>
      <c r="Z7" s="111">
        <f ca="1">($K40)*(IF(Z$4=0,0,1))</f>
        <v>0</v>
      </c>
      <c r="AA7" s="111">
        <f ca="1">($K41)*(IF(AA$4=0,0,1))</f>
        <v>0</v>
      </c>
      <c r="AB7" s="111">
        <f ca="1">($K42)*(IF(AB$4=0,0,1))</f>
        <v>0</v>
      </c>
      <c r="AC7" s="111">
        <f ca="1">($K43)*(IF(AC$4=0,0,1))</f>
        <v>0</v>
      </c>
      <c r="AD7" s="111">
        <f ca="1">($K44)*(IF(AD$4=0,0,1))</f>
        <v>0</v>
      </c>
      <c r="AE7" s="111">
        <f ca="1">($K45)*(IF(AE$4=0,0,1))</f>
        <v>0</v>
      </c>
      <c r="AF7" s="111">
        <f ca="1">($K46)*(IF(AF$4=0,0,1))</f>
        <v>0</v>
      </c>
      <c r="AG7" s="112">
        <f ca="1">($K47)*(IF(AG$4=0,0,1))</f>
        <v>0</v>
      </c>
      <c r="AH7" s="110">
        <f ca="1">($K48)*(IF(AH$4=0,0,1))</f>
        <v>0</v>
      </c>
      <c r="AI7" s="111">
        <f ca="1">($K49)*(IF(AI$4=0,0,1))</f>
        <v>0</v>
      </c>
      <c r="AJ7" s="111">
        <f ca="1">($K50)*(IF(AJ$4=0,0,1))</f>
        <v>0</v>
      </c>
      <c r="AK7" s="111">
        <f ca="1">($K51)*(IF(AK$4=0,0,1))</f>
        <v>0</v>
      </c>
      <c r="AL7" s="111">
        <f ca="1">($K52)*(IF(AL$4=0,0,1))</f>
        <v>0</v>
      </c>
      <c r="AM7" s="111">
        <f ca="1">($K53)*(IF(AM$4=0,0,1))</f>
        <v>0</v>
      </c>
      <c r="AN7" s="111">
        <f ca="1">($K54)*(IF(AN$4=0,0,1))</f>
        <v>0</v>
      </c>
      <c r="AO7" s="111">
        <f ca="1">($K55)*(IF(AO$4=0,0,1))</f>
        <v>0</v>
      </c>
      <c r="AP7" s="111">
        <f ca="1">($K56)*(IF(AP$4=0,0,1))</f>
        <v>0</v>
      </c>
      <c r="AQ7" s="111">
        <f ca="1">($K57)*(IF(AQ$4=0,0,1))</f>
        <v>0</v>
      </c>
      <c r="AR7" s="111">
        <f ca="1">($K58)*(IF(AR$4=0,0,1))</f>
        <v>0</v>
      </c>
      <c r="AS7" s="112">
        <f ca="1">($K59)*(IF(AS$4=0,0,1))</f>
        <v>0</v>
      </c>
    </row>
    <row r="8" spans="1:45" ht="19.5" thickBot="1">
      <c r="A8" s="36"/>
      <c r="B8" s="46" t="s">
        <v>55</v>
      </c>
      <c r="C8" s="47">
        <f ca="1">IF(ISERROR(-PMT(D4,D5,C3)),0,(-PMT(D4,D5,C3)))</f>
        <v>0</v>
      </c>
      <c r="D8" s="48"/>
      <c r="E8" s="36"/>
      <c r="F8" s="36"/>
      <c r="G8" s="36"/>
      <c r="H8" s="36"/>
      <c r="I8" s="113" t="s">
        <v>223</v>
      </c>
      <c r="J8" s="114">
        <f ca="1">J6-J7</f>
        <v>0</v>
      </c>
      <c r="K8" s="114">
        <f t="shared" ref="K8:AS8" ca="1" si="4">K6-K7</f>
        <v>0</v>
      </c>
      <c r="L8" s="114">
        <f t="shared" ca="1" si="4"/>
        <v>0</v>
      </c>
      <c r="M8" s="114">
        <f t="shared" ca="1" si="4"/>
        <v>0</v>
      </c>
      <c r="N8" s="114">
        <f t="shared" ca="1" si="4"/>
        <v>0</v>
      </c>
      <c r="O8" s="114">
        <f t="shared" ca="1" si="4"/>
        <v>0</v>
      </c>
      <c r="P8" s="114">
        <f t="shared" ca="1" si="4"/>
        <v>0</v>
      </c>
      <c r="Q8" s="114">
        <f t="shared" ca="1" si="4"/>
        <v>0</v>
      </c>
      <c r="R8" s="114">
        <f t="shared" ca="1" si="4"/>
        <v>0</v>
      </c>
      <c r="S8" s="114">
        <f t="shared" ca="1" si="4"/>
        <v>0</v>
      </c>
      <c r="T8" s="114">
        <f t="shared" ca="1" si="4"/>
        <v>0</v>
      </c>
      <c r="U8" s="114">
        <f t="shared" ca="1" si="4"/>
        <v>0</v>
      </c>
      <c r="V8" s="114">
        <f t="shared" ca="1" si="4"/>
        <v>0</v>
      </c>
      <c r="W8" s="114">
        <f t="shared" ca="1" si="4"/>
        <v>0</v>
      </c>
      <c r="X8" s="114">
        <f t="shared" ca="1" si="4"/>
        <v>0</v>
      </c>
      <c r="Y8" s="114">
        <f t="shared" ca="1" si="4"/>
        <v>0</v>
      </c>
      <c r="Z8" s="114">
        <f t="shared" ca="1" si="4"/>
        <v>0</v>
      </c>
      <c r="AA8" s="114">
        <f t="shared" ca="1" si="4"/>
        <v>0</v>
      </c>
      <c r="AB8" s="114">
        <f t="shared" ca="1" si="4"/>
        <v>0</v>
      </c>
      <c r="AC8" s="114">
        <f t="shared" ca="1" si="4"/>
        <v>0</v>
      </c>
      <c r="AD8" s="114">
        <f t="shared" ca="1" si="4"/>
        <v>0</v>
      </c>
      <c r="AE8" s="114">
        <f t="shared" ca="1" si="4"/>
        <v>0</v>
      </c>
      <c r="AF8" s="114">
        <f t="shared" ca="1" si="4"/>
        <v>0</v>
      </c>
      <c r="AG8" s="114">
        <f t="shared" ca="1" si="4"/>
        <v>0</v>
      </c>
      <c r="AH8" s="114">
        <f t="shared" ca="1" si="4"/>
        <v>0</v>
      </c>
      <c r="AI8" s="114">
        <f t="shared" ca="1" si="4"/>
        <v>0</v>
      </c>
      <c r="AJ8" s="114">
        <f t="shared" ca="1" si="4"/>
        <v>0</v>
      </c>
      <c r="AK8" s="114">
        <f t="shared" ca="1" si="4"/>
        <v>0</v>
      </c>
      <c r="AL8" s="114">
        <f t="shared" ca="1" si="4"/>
        <v>0</v>
      </c>
      <c r="AM8" s="114">
        <f t="shared" ca="1" si="4"/>
        <v>0</v>
      </c>
      <c r="AN8" s="114">
        <f t="shared" ca="1" si="4"/>
        <v>0</v>
      </c>
      <c r="AO8" s="114">
        <f t="shared" ca="1" si="4"/>
        <v>0</v>
      </c>
      <c r="AP8" s="114">
        <f t="shared" ca="1" si="4"/>
        <v>0</v>
      </c>
      <c r="AQ8" s="114">
        <f t="shared" ca="1" si="4"/>
        <v>0</v>
      </c>
      <c r="AR8" s="114">
        <f t="shared" ca="1" si="4"/>
        <v>0</v>
      </c>
      <c r="AS8" s="114">
        <f t="shared" ca="1" si="4"/>
        <v>0</v>
      </c>
    </row>
    <row r="9" spans="1:45" ht="19.5" thickBot="1">
      <c r="A9" s="36"/>
      <c r="B9" s="36"/>
      <c r="C9" s="36"/>
      <c r="D9" s="36"/>
      <c r="E9" s="36"/>
      <c r="F9" s="36"/>
      <c r="G9" s="36"/>
      <c r="H9" s="36"/>
      <c r="M9" s="35" t="s">
        <v>46</v>
      </c>
    </row>
    <row r="10" spans="1:45" ht="19.5" thickBot="1">
      <c r="A10" s="49" t="s">
        <v>62</v>
      </c>
      <c r="B10" s="50" t="s">
        <v>56</v>
      </c>
      <c r="C10" s="49" t="s">
        <v>57</v>
      </c>
      <c r="D10" s="51" t="s">
        <v>58</v>
      </c>
      <c r="E10" s="49" t="s">
        <v>59</v>
      </c>
      <c r="F10" s="51" t="s">
        <v>60</v>
      </c>
      <c r="G10" s="49" t="s">
        <v>61</v>
      </c>
      <c r="H10" s="49" t="s">
        <v>62</v>
      </c>
      <c r="J10" s="49" t="s">
        <v>62</v>
      </c>
      <c r="K10" s="50" t="s">
        <v>56</v>
      </c>
      <c r="L10" s="49" t="s">
        <v>57</v>
      </c>
      <c r="M10" s="51" t="s">
        <v>58</v>
      </c>
      <c r="N10" s="49" t="s">
        <v>59</v>
      </c>
      <c r="O10" s="51" t="s">
        <v>60</v>
      </c>
      <c r="P10" s="49" t="s">
        <v>61</v>
      </c>
      <c r="Q10" s="49" t="s">
        <v>62</v>
      </c>
    </row>
    <row r="11" spans="1:45" ht="19.5" thickBot="1">
      <c r="A11" s="52">
        <v>0</v>
      </c>
      <c r="B11" s="53">
        <f ca="1">C3</f>
        <v>0</v>
      </c>
      <c r="C11" s="54"/>
      <c r="D11" s="55"/>
      <c r="E11" s="54"/>
      <c r="F11" s="55"/>
      <c r="G11" s="54"/>
      <c r="H11" s="52"/>
      <c r="J11" s="52">
        <f>IF($A11=$F$4,1,IF($A11&gt;$F$4,$J10+1,0))</f>
        <v>0</v>
      </c>
      <c r="K11" s="53"/>
      <c r="L11" s="54"/>
      <c r="M11" s="55"/>
      <c r="N11" s="53"/>
      <c r="O11" s="260"/>
      <c r="P11" s="260"/>
      <c r="Q11" s="260"/>
    </row>
    <row r="12" spans="1:45" ht="19.5" thickBot="1">
      <c r="A12" s="56">
        <f>A11+1</f>
        <v>1</v>
      </c>
      <c r="B12" s="57">
        <f ca="1">IF(B11&lt;1,0,B11-E12)</f>
        <v>0</v>
      </c>
      <c r="C12" s="58">
        <f ca="1">B11*$D$4</f>
        <v>0</v>
      </c>
      <c r="D12" s="59">
        <f t="shared" ref="D12:D75" ca="1" si="5">IF(B12=0,0,D11+C12)</f>
        <v>0</v>
      </c>
      <c r="E12" s="58">
        <f t="shared" ref="E12:E17" ca="1" si="6">IF(OR(C$6&gt;0,C12&lt;0.01),0,C$8-C12)</f>
        <v>0</v>
      </c>
      <c r="F12" s="59">
        <f t="shared" ref="F12:F43" ca="1" si="7">IF(D12=0,0,F11+E12)</f>
        <v>0</v>
      </c>
      <c r="G12" s="58">
        <f ca="1">C$8*H12</f>
        <v>0</v>
      </c>
      <c r="H12" s="56">
        <f ca="1">IF(E12=0,0,A12-D$6)</f>
        <v>0</v>
      </c>
      <c r="J12" s="52">
        <f>IF($A12=$F$4,1,IF($A12&gt;$F$4,$J11+1,0))</f>
        <v>0</v>
      </c>
      <c r="K12" s="57">
        <f ca="1">VLOOKUP($J12,$A$11:$H$191,2,0)</f>
        <v>0</v>
      </c>
      <c r="L12" s="58">
        <f t="shared" ref="L12:L75" si="8">VLOOKUP($J12,$A$11:$H$191,3,0)</f>
        <v>0</v>
      </c>
      <c r="M12" s="59">
        <f t="shared" ref="M12:M75" si="9">VLOOKUP($J12,$A$11:$H$191,4,0)</f>
        <v>0</v>
      </c>
      <c r="N12" s="57">
        <f t="shared" ref="N12:N75" si="10">VLOOKUP($J12,$A$11:$H$191,5,0)</f>
        <v>0</v>
      </c>
      <c r="O12" s="261">
        <f t="shared" ref="O12:O75" si="11">VLOOKUP($J12,$A$11:$H$191,6,0)</f>
        <v>0</v>
      </c>
      <c r="P12" s="261">
        <f t="shared" ref="P12:P75" si="12">VLOOKUP($J12,$A$11:$H$191,7,0)</f>
        <v>0</v>
      </c>
      <c r="Q12" s="261">
        <f t="shared" ref="Q12:Q75" si="13">VLOOKUP($J12,$A$11:$H$191,8,0)</f>
        <v>0</v>
      </c>
      <c r="S12" s="35" t="s">
        <v>46</v>
      </c>
    </row>
    <row r="13" spans="1:45" ht="19.5" thickBot="1">
      <c r="A13" s="56">
        <v>2</v>
      </c>
      <c r="B13" s="57">
        <f ca="1">IF(B12&lt;1,0,B12-E13)</f>
        <v>0</v>
      </c>
      <c r="C13" s="58">
        <f ca="1">IF(+$D$7=4,0,B12*$D$4)</f>
        <v>0</v>
      </c>
      <c r="D13" s="59">
        <f t="shared" ca="1" si="5"/>
        <v>0</v>
      </c>
      <c r="E13" s="58">
        <f t="shared" ca="1" si="6"/>
        <v>0</v>
      </c>
      <c r="F13" s="59">
        <f t="shared" ca="1" si="7"/>
        <v>0</v>
      </c>
      <c r="G13" s="58">
        <f t="shared" ref="G13:G76" ca="1" si="14">C$8*H13</f>
        <v>0</v>
      </c>
      <c r="H13" s="56">
        <f t="shared" ref="H13:H76" ca="1" si="15">IF(E13=0,0,A13-D$6)</f>
        <v>0</v>
      </c>
      <c r="J13" s="52">
        <f>IF($A13=$F$4,1,IF($A13&gt;$F$4,$J12+1,0))</f>
        <v>0</v>
      </c>
      <c r="K13" s="57">
        <f t="shared" ref="K13:K76" ca="1" si="16">VLOOKUP(J13,$A$11:$H$191,2,0)</f>
        <v>0</v>
      </c>
      <c r="L13" s="58">
        <f t="shared" si="8"/>
        <v>0</v>
      </c>
      <c r="M13" s="59">
        <f t="shared" si="9"/>
        <v>0</v>
      </c>
      <c r="N13" s="57">
        <f t="shared" si="10"/>
        <v>0</v>
      </c>
      <c r="O13" s="261">
        <f t="shared" si="11"/>
        <v>0</v>
      </c>
      <c r="P13" s="261">
        <f t="shared" si="12"/>
        <v>0</v>
      </c>
      <c r="Q13" s="261">
        <f t="shared" si="13"/>
        <v>0</v>
      </c>
    </row>
    <row r="14" spans="1:45" ht="19.5" thickBot="1">
      <c r="A14" s="56">
        <v>3</v>
      </c>
      <c r="B14" s="57">
        <f t="shared" ref="B14:B77" ca="1" si="17">IF(B13&lt;1,0,B13-E14)</f>
        <v>0</v>
      </c>
      <c r="C14" s="58">
        <f ca="1">IF(+$D$7=4,0,B13*$D$4)</f>
        <v>0</v>
      </c>
      <c r="D14" s="59">
        <f t="shared" ca="1" si="5"/>
        <v>0</v>
      </c>
      <c r="E14" s="58">
        <f t="shared" ca="1" si="6"/>
        <v>0</v>
      </c>
      <c r="F14" s="59">
        <f t="shared" ca="1" si="7"/>
        <v>0</v>
      </c>
      <c r="G14" s="58">
        <f t="shared" ca="1" si="14"/>
        <v>0</v>
      </c>
      <c r="H14" s="56">
        <f t="shared" ca="1" si="15"/>
        <v>0</v>
      </c>
      <c r="J14" s="52">
        <f>IF($A14=$F$4,1,IF($A14&gt;$F$4,$J13+1,0))</f>
        <v>0</v>
      </c>
      <c r="K14" s="57">
        <f t="shared" ca="1" si="16"/>
        <v>0</v>
      </c>
      <c r="L14" s="58">
        <f t="shared" si="8"/>
        <v>0</v>
      </c>
      <c r="M14" s="59">
        <f t="shared" si="9"/>
        <v>0</v>
      </c>
      <c r="N14" s="57">
        <f t="shared" si="10"/>
        <v>0</v>
      </c>
      <c r="O14" s="261">
        <f t="shared" si="11"/>
        <v>0</v>
      </c>
      <c r="P14" s="261">
        <f t="shared" si="12"/>
        <v>0</v>
      </c>
      <c r="Q14" s="261">
        <f t="shared" si="13"/>
        <v>0</v>
      </c>
    </row>
    <row r="15" spans="1:45" ht="19.5" thickBot="1">
      <c r="A15" s="56">
        <v>4</v>
      </c>
      <c r="B15" s="57">
        <f t="shared" ca="1" si="17"/>
        <v>0</v>
      </c>
      <c r="C15" s="58">
        <f ca="1">B14*$D$4</f>
        <v>0</v>
      </c>
      <c r="D15" s="59">
        <f t="shared" ca="1" si="5"/>
        <v>0</v>
      </c>
      <c r="E15" s="58">
        <f t="shared" ca="1" si="6"/>
        <v>0</v>
      </c>
      <c r="F15" s="59">
        <f t="shared" ca="1" si="7"/>
        <v>0</v>
      </c>
      <c r="G15" s="58">
        <f t="shared" ca="1" si="14"/>
        <v>0</v>
      </c>
      <c r="H15" s="56">
        <f t="shared" ca="1" si="15"/>
        <v>0</v>
      </c>
      <c r="J15" s="52">
        <f>IF($A15=$F$4,1,IF($A15&gt;$F$4,$J14+1,0))</f>
        <v>0</v>
      </c>
      <c r="K15" s="57">
        <f t="shared" ca="1" si="16"/>
        <v>0</v>
      </c>
      <c r="L15" s="58">
        <f t="shared" si="8"/>
        <v>0</v>
      </c>
      <c r="M15" s="59">
        <f t="shared" si="9"/>
        <v>0</v>
      </c>
      <c r="N15" s="57">
        <f t="shared" si="10"/>
        <v>0</v>
      </c>
      <c r="O15" s="261">
        <f t="shared" si="11"/>
        <v>0</v>
      </c>
      <c r="P15" s="261">
        <f t="shared" si="12"/>
        <v>0</v>
      </c>
      <c r="Q15" s="261">
        <f t="shared" si="13"/>
        <v>0</v>
      </c>
    </row>
    <row r="16" spans="1:45" ht="19.5" thickBot="1">
      <c r="A16" s="56">
        <v>5</v>
      </c>
      <c r="B16" s="57">
        <f t="shared" ca="1" si="17"/>
        <v>0</v>
      </c>
      <c r="C16" s="58">
        <f ca="1">IF(+$D$7=4,0,B15*$D$4)</f>
        <v>0</v>
      </c>
      <c r="D16" s="59">
        <f t="shared" ca="1" si="5"/>
        <v>0</v>
      </c>
      <c r="E16" s="58">
        <f t="shared" ca="1" si="6"/>
        <v>0</v>
      </c>
      <c r="F16" s="59">
        <f t="shared" ca="1" si="7"/>
        <v>0</v>
      </c>
      <c r="G16" s="58">
        <f t="shared" ca="1" si="14"/>
        <v>0</v>
      </c>
      <c r="H16" s="56">
        <f t="shared" ca="1" si="15"/>
        <v>0</v>
      </c>
      <c r="J16" s="52">
        <f t="shared" ref="J16:J79" si="18">IF($A16=$F$4,1,IF($A16&gt;$F$4,$J15+1,0))</f>
        <v>1</v>
      </c>
      <c r="K16" s="57">
        <f t="shared" ca="1" si="16"/>
        <v>0</v>
      </c>
      <c r="L16" s="58">
        <f t="shared" ca="1" si="8"/>
        <v>0</v>
      </c>
      <c r="M16" s="59">
        <f t="shared" ca="1" si="9"/>
        <v>0</v>
      </c>
      <c r="N16" s="57">
        <f t="shared" ca="1" si="10"/>
        <v>0</v>
      </c>
      <c r="O16" s="261">
        <f t="shared" ca="1" si="11"/>
        <v>0</v>
      </c>
      <c r="P16" s="261">
        <f t="shared" ca="1" si="12"/>
        <v>0</v>
      </c>
      <c r="Q16" s="261">
        <f t="shared" ca="1" si="13"/>
        <v>0</v>
      </c>
    </row>
    <row r="17" spans="1:19" ht="19.5" thickBot="1">
      <c r="A17" s="56">
        <v>6</v>
      </c>
      <c r="B17" s="57">
        <f t="shared" ca="1" si="17"/>
        <v>0</v>
      </c>
      <c r="C17" s="58">
        <f ca="1">IF(+$D$7=4,0,B16*$D$4)</f>
        <v>0</v>
      </c>
      <c r="D17" s="59">
        <f t="shared" ca="1" si="5"/>
        <v>0</v>
      </c>
      <c r="E17" s="58">
        <f t="shared" ca="1" si="6"/>
        <v>0</v>
      </c>
      <c r="F17" s="59">
        <f t="shared" ca="1" si="7"/>
        <v>0</v>
      </c>
      <c r="G17" s="58">
        <f t="shared" ca="1" si="14"/>
        <v>0</v>
      </c>
      <c r="H17" s="56">
        <f t="shared" ca="1" si="15"/>
        <v>0</v>
      </c>
      <c r="J17" s="52">
        <f t="shared" si="18"/>
        <v>2</v>
      </c>
      <c r="K17" s="57">
        <f t="shared" ca="1" si="16"/>
        <v>0</v>
      </c>
      <c r="L17" s="58">
        <f t="shared" ca="1" si="8"/>
        <v>0</v>
      </c>
      <c r="M17" s="59">
        <f t="shared" ca="1" si="9"/>
        <v>0</v>
      </c>
      <c r="N17" s="57">
        <f t="shared" ca="1" si="10"/>
        <v>0</v>
      </c>
      <c r="O17" s="261">
        <f t="shared" ca="1" si="11"/>
        <v>0</v>
      </c>
      <c r="P17" s="261">
        <f t="shared" ca="1" si="12"/>
        <v>0</v>
      </c>
      <c r="Q17" s="261">
        <f t="shared" ca="1" si="13"/>
        <v>0</v>
      </c>
    </row>
    <row r="18" spans="1:19" ht="19.5" thickBot="1">
      <c r="A18" s="56">
        <v>7</v>
      </c>
      <c r="B18" s="57">
        <f t="shared" ca="1" si="17"/>
        <v>0</v>
      </c>
      <c r="C18" s="58">
        <f ca="1">B17*$D$4</f>
        <v>0</v>
      </c>
      <c r="D18" s="59">
        <f t="shared" ca="1" si="5"/>
        <v>0</v>
      </c>
      <c r="E18" s="58">
        <f t="shared" ref="E18:E23" ca="1" si="19">IF(OR(C$6&gt;0.5,C18&lt;0.01),0,C$8-C18)</f>
        <v>0</v>
      </c>
      <c r="F18" s="59">
        <f t="shared" ca="1" si="7"/>
        <v>0</v>
      </c>
      <c r="G18" s="58">
        <f t="shared" ca="1" si="14"/>
        <v>0</v>
      </c>
      <c r="H18" s="56">
        <f t="shared" ca="1" si="15"/>
        <v>0</v>
      </c>
      <c r="J18" s="52">
        <f t="shared" si="18"/>
        <v>3</v>
      </c>
      <c r="K18" s="57">
        <f t="shared" ca="1" si="16"/>
        <v>0</v>
      </c>
      <c r="L18" s="58">
        <f t="shared" ca="1" si="8"/>
        <v>0</v>
      </c>
      <c r="M18" s="59">
        <f t="shared" ca="1" si="9"/>
        <v>0</v>
      </c>
      <c r="N18" s="57">
        <f t="shared" ca="1" si="10"/>
        <v>0</v>
      </c>
      <c r="O18" s="261">
        <f t="shared" ca="1" si="11"/>
        <v>0</v>
      </c>
      <c r="P18" s="261">
        <f t="shared" ca="1" si="12"/>
        <v>0</v>
      </c>
      <c r="Q18" s="261">
        <f t="shared" ca="1" si="13"/>
        <v>0</v>
      </c>
      <c r="S18" s="35" t="s">
        <v>46</v>
      </c>
    </row>
    <row r="19" spans="1:19" ht="19.5" thickBot="1">
      <c r="A19" s="56">
        <v>8</v>
      </c>
      <c r="B19" s="57">
        <f t="shared" ca="1" si="17"/>
        <v>0</v>
      </c>
      <c r="C19" s="58">
        <f ca="1">IF(+$D$7=4,0,B18*$D$4)</f>
        <v>0</v>
      </c>
      <c r="D19" s="59">
        <f t="shared" ca="1" si="5"/>
        <v>0</v>
      </c>
      <c r="E19" s="58">
        <f t="shared" ca="1" si="19"/>
        <v>0</v>
      </c>
      <c r="F19" s="59">
        <f t="shared" ca="1" si="7"/>
        <v>0</v>
      </c>
      <c r="G19" s="58">
        <f t="shared" ca="1" si="14"/>
        <v>0</v>
      </c>
      <c r="H19" s="56">
        <f t="shared" ca="1" si="15"/>
        <v>0</v>
      </c>
      <c r="J19" s="52">
        <f t="shared" si="18"/>
        <v>4</v>
      </c>
      <c r="K19" s="57">
        <f t="shared" ca="1" si="16"/>
        <v>0</v>
      </c>
      <c r="L19" s="58">
        <f t="shared" ca="1" si="8"/>
        <v>0</v>
      </c>
      <c r="M19" s="59">
        <f t="shared" ca="1" si="9"/>
        <v>0</v>
      </c>
      <c r="N19" s="57">
        <f t="shared" ca="1" si="10"/>
        <v>0</v>
      </c>
      <c r="O19" s="261">
        <f t="shared" ca="1" si="11"/>
        <v>0</v>
      </c>
      <c r="P19" s="261">
        <f t="shared" ca="1" si="12"/>
        <v>0</v>
      </c>
      <c r="Q19" s="261">
        <f t="shared" ca="1" si="13"/>
        <v>0</v>
      </c>
    </row>
    <row r="20" spans="1:19" ht="19.5" thickBot="1">
      <c r="A20" s="56">
        <v>9</v>
      </c>
      <c r="B20" s="57">
        <f t="shared" ca="1" si="17"/>
        <v>0</v>
      </c>
      <c r="C20" s="58">
        <f ca="1">IF(+$D$7=4,0,B19*$D$4)</f>
        <v>0</v>
      </c>
      <c r="D20" s="59">
        <f t="shared" ca="1" si="5"/>
        <v>0</v>
      </c>
      <c r="E20" s="58">
        <f t="shared" ca="1" si="19"/>
        <v>0</v>
      </c>
      <c r="F20" s="59">
        <f t="shared" ca="1" si="7"/>
        <v>0</v>
      </c>
      <c r="G20" s="58">
        <f t="shared" ca="1" si="14"/>
        <v>0</v>
      </c>
      <c r="H20" s="56">
        <f t="shared" ca="1" si="15"/>
        <v>0</v>
      </c>
      <c r="J20" s="52">
        <f t="shared" si="18"/>
        <v>5</v>
      </c>
      <c r="K20" s="57">
        <f t="shared" ca="1" si="16"/>
        <v>0</v>
      </c>
      <c r="L20" s="58">
        <f t="shared" ca="1" si="8"/>
        <v>0</v>
      </c>
      <c r="M20" s="59">
        <f t="shared" ca="1" si="9"/>
        <v>0</v>
      </c>
      <c r="N20" s="57">
        <f t="shared" ca="1" si="10"/>
        <v>0</v>
      </c>
      <c r="O20" s="261">
        <f t="shared" ca="1" si="11"/>
        <v>0</v>
      </c>
      <c r="P20" s="261">
        <f t="shared" ca="1" si="12"/>
        <v>0</v>
      </c>
      <c r="Q20" s="261">
        <f t="shared" ca="1" si="13"/>
        <v>0</v>
      </c>
    </row>
    <row r="21" spans="1:19" ht="19.5" thickBot="1">
      <c r="A21" s="56">
        <v>10</v>
      </c>
      <c r="B21" s="57">
        <f t="shared" ca="1" si="17"/>
        <v>0</v>
      </c>
      <c r="C21" s="58">
        <f ca="1">B20*$D$4</f>
        <v>0</v>
      </c>
      <c r="D21" s="59">
        <f t="shared" ca="1" si="5"/>
        <v>0</v>
      </c>
      <c r="E21" s="58">
        <f t="shared" ca="1" si="19"/>
        <v>0</v>
      </c>
      <c r="F21" s="59">
        <f t="shared" ca="1" si="7"/>
        <v>0</v>
      </c>
      <c r="G21" s="58">
        <f t="shared" ca="1" si="14"/>
        <v>0</v>
      </c>
      <c r="H21" s="56">
        <f t="shared" ca="1" si="15"/>
        <v>0</v>
      </c>
      <c r="J21" s="52">
        <f t="shared" si="18"/>
        <v>6</v>
      </c>
      <c r="K21" s="57">
        <f t="shared" ca="1" si="16"/>
        <v>0</v>
      </c>
      <c r="L21" s="58">
        <f t="shared" ca="1" si="8"/>
        <v>0</v>
      </c>
      <c r="M21" s="59">
        <f t="shared" ca="1" si="9"/>
        <v>0</v>
      </c>
      <c r="N21" s="57">
        <f t="shared" ca="1" si="10"/>
        <v>0</v>
      </c>
      <c r="O21" s="261">
        <f t="shared" ca="1" si="11"/>
        <v>0</v>
      </c>
      <c r="P21" s="261">
        <f t="shared" ca="1" si="12"/>
        <v>0</v>
      </c>
      <c r="Q21" s="261">
        <f t="shared" ca="1" si="13"/>
        <v>0</v>
      </c>
    </row>
    <row r="22" spans="1:19" ht="19.5" thickBot="1">
      <c r="A22" s="56">
        <v>11</v>
      </c>
      <c r="B22" s="57">
        <f t="shared" ca="1" si="17"/>
        <v>0</v>
      </c>
      <c r="C22" s="58">
        <f ca="1">IF(+$D$7=4,0,B21*$D$4)</f>
        <v>0</v>
      </c>
      <c r="D22" s="59">
        <f t="shared" ca="1" si="5"/>
        <v>0</v>
      </c>
      <c r="E22" s="58">
        <f t="shared" ca="1" si="19"/>
        <v>0</v>
      </c>
      <c r="F22" s="59">
        <f t="shared" ca="1" si="7"/>
        <v>0</v>
      </c>
      <c r="G22" s="58">
        <f t="shared" ca="1" si="14"/>
        <v>0</v>
      </c>
      <c r="H22" s="56">
        <f t="shared" ca="1" si="15"/>
        <v>0</v>
      </c>
      <c r="J22" s="52">
        <f t="shared" si="18"/>
        <v>7</v>
      </c>
      <c r="K22" s="57">
        <f t="shared" ca="1" si="16"/>
        <v>0</v>
      </c>
      <c r="L22" s="58">
        <f t="shared" ca="1" si="8"/>
        <v>0</v>
      </c>
      <c r="M22" s="59">
        <f t="shared" ca="1" si="9"/>
        <v>0</v>
      </c>
      <c r="N22" s="57">
        <f t="shared" ca="1" si="10"/>
        <v>0</v>
      </c>
      <c r="O22" s="261">
        <f t="shared" ca="1" si="11"/>
        <v>0</v>
      </c>
      <c r="P22" s="261">
        <f t="shared" ca="1" si="12"/>
        <v>0</v>
      </c>
      <c r="Q22" s="261">
        <f t="shared" ca="1" si="13"/>
        <v>0</v>
      </c>
    </row>
    <row r="23" spans="1:19" ht="19.5" thickBot="1">
      <c r="A23" s="56">
        <v>12</v>
      </c>
      <c r="B23" s="57">
        <f t="shared" ca="1" si="17"/>
        <v>0</v>
      </c>
      <c r="C23" s="58">
        <f ca="1">IF(+$D$7=4,0,B22*$D$4)</f>
        <v>0</v>
      </c>
      <c r="D23" s="59">
        <f t="shared" ca="1" si="5"/>
        <v>0</v>
      </c>
      <c r="E23" s="58">
        <f t="shared" ca="1" si="19"/>
        <v>0</v>
      </c>
      <c r="F23" s="59">
        <f t="shared" ca="1" si="7"/>
        <v>0</v>
      </c>
      <c r="G23" s="58">
        <f t="shared" ca="1" si="14"/>
        <v>0</v>
      </c>
      <c r="H23" s="56">
        <f t="shared" ca="1" si="15"/>
        <v>0</v>
      </c>
      <c r="J23" s="52">
        <f t="shared" si="18"/>
        <v>8</v>
      </c>
      <c r="K23" s="57">
        <f t="shared" ca="1" si="16"/>
        <v>0</v>
      </c>
      <c r="L23" s="58">
        <f t="shared" ca="1" si="8"/>
        <v>0</v>
      </c>
      <c r="M23" s="59">
        <f t="shared" ca="1" si="9"/>
        <v>0</v>
      </c>
      <c r="N23" s="57">
        <f t="shared" ca="1" si="10"/>
        <v>0</v>
      </c>
      <c r="O23" s="261">
        <f t="shared" ca="1" si="11"/>
        <v>0</v>
      </c>
      <c r="P23" s="261">
        <f t="shared" ca="1" si="12"/>
        <v>0</v>
      </c>
      <c r="Q23" s="261">
        <f t="shared" ca="1" si="13"/>
        <v>0</v>
      </c>
    </row>
    <row r="24" spans="1:19" ht="19.5" thickBot="1">
      <c r="A24" s="56">
        <v>13</v>
      </c>
      <c r="B24" s="57">
        <f t="shared" ca="1" si="17"/>
        <v>0</v>
      </c>
      <c r="C24" s="58">
        <f ca="1">B23*$D$4</f>
        <v>0</v>
      </c>
      <c r="D24" s="59">
        <f t="shared" ca="1" si="5"/>
        <v>0</v>
      </c>
      <c r="E24" s="58">
        <f t="shared" ref="E24:E29" ca="1" si="20">IF(OR(C$6&gt;1,C24&lt;0.01),0,C$8-C24)</f>
        <v>0</v>
      </c>
      <c r="F24" s="59">
        <f t="shared" ca="1" si="7"/>
        <v>0</v>
      </c>
      <c r="G24" s="58">
        <f t="shared" ca="1" si="14"/>
        <v>0</v>
      </c>
      <c r="H24" s="56">
        <f t="shared" ca="1" si="15"/>
        <v>0</v>
      </c>
      <c r="J24" s="52">
        <f t="shared" si="18"/>
        <v>9</v>
      </c>
      <c r="K24" s="57">
        <f t="shared" ca="1" si="16"/>
        <v>0</v>
      </c>
      <c r="L24" s="58">
        <f t="shared" ca="1" si="8"/>
        <v>0</v>
      </c>
      <c r="M24" s="59">
        <f t="shared" ca="1" si="9"/>
        <v>0</v>
      </c>
      <c r="N24" s="57">
        <f t="shared" ca="1" si="10"/>
        <v>0</v>
      </c>
      <c r="O24" s="261">
        <f t="shared" ca="1" si="11"/>
        <v>0</v>
      </c>
      <c r="P24" s="261">
        <f t="shared" ca="1" si="12"/>
        <v>0</v>
      </c>
      <c r="Q24" s="261">
        <f t="shared" ca="1" si="13"/>
        <v>0</v>
      </c>
    </row>
    <row r="25" spans="1:19" ht="19.5" thickBot="1">
      <c r="A25" s="56">
        <v>14</v>
      </c>
      <c r="B25" s="57">
        <f t="shared" ca="1" si="17"/>
        <v>0</v>
      </c>
      <c r="C25" s="58">
        <f ca="1">IF(+$D$7=4,0,B24*$D$4)</f>
        <v>0</v>
      </c>
      <c r="D25" s="59">
        <f t="shared" ca="1" si="5"/>
        <v>0</v>
      </c>
      <c r="E25" s="58">
        <f t="shared" ca="1" si="20"/>
        <v>0</v>
      </c>
      <c r="F25" s="59">
        <f t="shared" ca="1" si="7"/>
        <v>0</v>
      </c>
      <c r="G25" s="58">
        <f t="shared" ca="1" si="14"/>
        <v>0</v>
      </c>
      <c r="H25" s="56">
        <f t="shared" ca="1" si="15"/>
        <v>0</v>
      </c>
      <c r="J25" s="52">
        <f t="shared" si="18"/>
        <v>10</v>
      </c>
      <c r="K25" s="57">
        <f t="shared" ca="1" si="16"/>
        <v>0</v>
      </c>
      <c r="L25" s="58">
        <f t="shared" ca="1" si="8"/>
        <v>0</v>
      </c>
      <c r="M25" s="59">
        <f t="shared" ca="1" si="9"/>
        <v>0</v>
      </c>
      <c r="N25" s="57">
        <f t="shared" ca="1" si="10"/>
        <v>0</v>
      </c>
      <c r="O25" s="261">
        <f t="shared" ca="1" si="11"/>
        <v>0</v>
      </c>
      <c r="P25" s="261">
        <f t="shared" ca="1" si="12"/>
        <v>0</v>
      </c>
      <c r="Q25" s="261">
        <f t="shared" ca="1" si="13"/>
        <v>0</v>
      </c>
    </row>
    <row r="26" spans="1:19" ht="19.5" thickBot="1">
      <c r="A26" s="56">
        <v>15</v>
      </c>
      <c r="B26" s="57">
        <f t="shared" ca="1" si="17"/>
        <v>0</v>
      </c>
      <c r="C26" s="58">
        <f ca="1">IF(+$D$7=4,0,B25*$D$4)</f>
        <v>0</v>
      </c>
      <c r="D26" s="59">
        <f t="shared" ca="1" si="5"/>
        <v>0</v>
      </c>
      <c r="E26" s="58">
        <f t="shared" ca="1" si="20"/>
        <v>0</v>
      </c>
      <c r="F26" s="59">
        <f t="shared" ca="1" si="7"/>
        <v>0</v>
      </c>
      <c r="G26" s="58">
        <f t="shared" ca="1" si="14"/>
        <v>0</v>
      </c>
      <c r="H26" s="56">
        <f t="shared" ca="1" si="15"/>
        <v>0</v>
      </c>
      <c r="J26" s="52">
        <f t="shared" si="18"/>
        <v>11</v>
      </c>
      <c r="K26" s="57">
        <f t="shared" ca="1" si="16"/>
        <v>0</v>
      </c>
      <c r="L26" s="58">
        <f t="shared" ca="1" si="8"/>
        <v>0</v>
      </c>
      <c r="M26" s="59">
        <f t="shared" ca="1" si="9"/>
        <v>0</v>
      </c>
      <c r="N26" s="57">
        <f t="shared" ca="1" si="10"/>
        <v>0</v>
      </c>
      <c r="O26" s="261">
        <f t="shared" ca="1" si="11"/>
        <v>0</v>
      </c>
      <c r="P26" s="261">
        <f t="shared" ca="1" si="12"/>
        <v>0</v>
      </c>
      <c r="Q26" s="261">
        <f t="shared" ca="1" si="13"/>
        <v>0</v>
      </c>
    </row>
    <row r="27" spans="1:19" ht="19.5" thickBot="1">
      <c r="A27" s="56">
        <v>16</v>
      </c>
      <c r="B27" s="57">
        <f t="shared" ca="1" si="17"/>
        <v>0</v>
      </c>
      <c r="C27" s="58">
        <f ca="1">B26*$D$4</f>
        <v>0</v>
      </c>
      <c r="D27" s="59">
        <f t="shared" ca="1" si="5"/>
        <v>0</v>
      </c>
      <c r="E27" s="58">
        <f t="shared" ca="1" si="20"/>
        <v>0</v>
      </c>
      <c r="F27" s="59">
        <f t="shared" ca="1" si="7"/>
        <v>0</v>
      </c>
      <c r="G27" s="58">
        <f t="shared" ca="1" si="14"/>
        <v>0</v>
      </c>
      <c r="H27" s="56">
        <f t="shared" ca="1" si="15"/>
        <v>0</v>
      </c>
      <c r="J27" s="52">
        <f t="shared" si="18"/>
        <v>12</v>
      </c>
      <c r="K27" s="57">
        <f t="shared" ca="1" si="16"/>
        <v>0</v>
      </c>
      <c r="L27" s="58">
        <f t="shared" ca="1" si="8"/>
        <v>0</v>
      </c>
      <c r="M27" s="59">
        <f t="shared" ca="1" si="9"/>
        <v>0</v>
      </c>
      <c r="N27" s="57">
        <f t="shared" ca="1" si="10"/>
        <v>0</v>
      </c>
      <c r="O27" s="261">
        <f t="shared" ca="1" si="11"/>
        <v>0</v>
      </c>
      <c r="P27" s="261">
        <f t="shared" ca="1" si="12"/>
        <v>0</v>
      </c>
      <c r="Q27" s="261">
        <f t="shared" ca="1" si="13"/>
        <v>0</v>
      </c>
    </row>
    <row r="28" spans="1:19" ht="19.5" thickBot="1">
      <c r="A28" s="56">
        <v>17</v>
      </c>
      <c r="B28" s="57">
        <f t="shared" ca="1" si="17"/>
        <v>0</v>
      </c>
      <c r="C28" s="58">
        <f ca="1">IF(+$D$7=4,0,B27*$D$4)</f>
        <v>0</v>
      </c>
      <c r="D28" s="59">
        <f t="shared" ca="1" si="5"/>
        <v>0</v>
      </c>
      <c r="E28" s="58">
        <f t="shared" ca="1" si="20"/>
        <v>0</v>
      </c>
      <c r="F28" s="59">
        <f t="shared" ca="1" si="7"/>
        <v>0</v>
      </c>
      <c r="G28" s="58">
        <f t="shared" ca="1" si="14"/>
        <v>0</v>
      </c>
      <c r="H28" s="56">
        <f t="shared" ca="1" si="15"/>
        <v>0</v>
      </c>
      <c r="J28" s="52">
        <f t="shared" si="18"/>
        <v>13</v>
      </c>
      <c r="K28" s="57">
        <f t="shared" ca="1" si="16"/>
        <v>0</v>
      </c>
      <c r="L28" s="58">
        <f t="shared" ca="1" si="8"/>
        <v>0</v>
      </c>
      <c r="M28" s="59">
        <f t="shared" ca="1" si="9"/>
        <v>0</v>
      </c>
      <c r="N28" s="57">
        <f t="shared" ca="1" si="10"/>
        <v>0</v>
      </c>
      <c r="O28" s="261">
        <f t="shared" ca="1" si="11"/>
        <v>0</v>
      </c>
      <c r="P28" s="261">
        <f t="shared" ca="1" si="12"/>
        <v>0</v>
      </c>
      <c r="Q28" s="261">
        <f t="shared" ca="1" si="13"/>
        <v>0</v>
      </c>
    </row>
    <row r="29" spans="1:19" ht="19.5" thickBot="1">
      <c r="A29" s="56">
        <v>18</v>
      </c>
      <c r="B29" s="57">
        <f t="shared" ca="1" si="17"/>
        <v>0</v>
      </c>
      <c r="C29" s="58">
        <f ca="1">IF(+$D$7=4,0,B28*$D$4)</f>
        <v>0</v>
      </c>
      <c r="D29" s="59">
        <f t="shared" ca="1" si="5"/>
        <v>0</v>
      </c>
      <c r="E29" s="58">
        <f t="shared" ca="1" si="20"/>
        <v>0</v>
      </c>
      <c r="F29" s="59">
        <f t="shared" ca="1" si="7"/>
        <v>0</v>
      </c>
      <c r="G29" s="58">
        <f t="shared" ca="1" si="14"/>
        <v>0</v>
      </c>
      <c r="H29" s="56">
        <f t="shared" ca="1" si="15"/>
        <v>0</v>
      </c>
      <c r="J29" s="52">
        <f t="shared" si="18"/>
        <v>14</v>
      </c>
      <c r="K29" s="57">
        <f t="shared" ca="1" si="16"/>
        <v>0</v>
      </c>
      <c r="L29" s="58">
        <f t="shared" ca="1" si="8"/>
        <v>0</v>
      </c>
      <c r="M29" s="59">
        <f t="shared" ca="1" si="9"/>
        <v>0</v>
      </c>
      <c r="N29" s="57">
        <f t="shared" ca="1" si="10"/>
        <v>0</v>
      </c>
      <c r="O29" s="261">
        <f t="shared" ca="1" si="11"/>
        <v>0</v>
      </c>
      <c r="P29" s="261">
        <f t="shared" ca="1" si="12"/>
        <v>0</v>
      </c>
      <c r="Q29" s="261">
        <f t="shared" ca="1" si="13"/>
        <v>0</v>
      </c>
    </row>
    <row r="30" spans="1:19" ht="19.5" thickBot="1">
      <c r="A30" s="56">
        <v>19</v>
      </c>
      <c r="B30" s="57">
        <f t="shared" ca="1" si="17"/>
        <v>0</v>
      </c>
      <c r="C30" s="58">
        <f ca="1">B29*$D$4</f>
        <v>0</v>
      </c>
      <c r="D30" s="59">
        <f t="shared" ca="1" si="5"/>
        <v>0</v>
      </c>
      <c r="E30" s="58">
        <f t="shared" ref="E30:E35" ca="1" si="21">IF(OR(C$6&gt;1.5,C30&lt;0.01),0,C$8-C30)</f>
        <v>0</v>
      </c>
      <c r="F30" s="59">
        <f t="shared" ca="1" si="7"/>
        <v>0</v>
      </c>
      <c r="G30" s="58">
        <f t="shared" ca="1" si="14"/>
        <v>0</v>
      </c>
      <c r="H30" s="56">
        <f t="shared" ca="1" si="15"/>
        <v>0</v>
      </c>
      <c r="J30" s="52">
        <f t="shared" si="18"/>
        <v>15</v>
      </c>
      <c r="K30" s="57">
        <f t="shared" ca="1" si="16"/>
        <v>0</v>
      </c>
      <c r="L30" s="58">
        <f t="shared" ca="1" si="8"/>
        <v>0</v>
      </c>
      <c r="M30" s="59">
        <f t="shared" ca="1" si="9"/>
        <v>0</v>
      </c>
      <c r="N30" s="57">
        <f t="shared" ca="1" si="10"/>
        <v>0</v>
      </c>
      <c r="O30" s="261">
        <f t="shared" ca="1" si="11"/>
        <v>0</v>
      </c>
      <c r="P30" s="261">
        <f t="shared" ca="1" si="12"/>
        <v>0</v>
      </c>
      <c r="Q30" s="261">
        <f t="shared" ca="1" si="13"/>
        <v>0</v>
      </c>
    </row>
    <row r="31" spans="1:19" ht="19.5" thickBot="1">
      <c r="A31" s="56">
        <v>20</v>
      </c>
      <c r="B31" s="57">
        <f t="shared" ca="1" si="17"/>
        <v>0</v>
      </c>
      <c r="C31" s="58">
        <f ca="1">IF(+$D$7=4,0,B30*$D$4)</f>
        <v>0</v>
      </c>
      <c r="D31" s="59">
        <f t="shared" ca="1" si="5"/>
        <v>0</v>
      </c>
      <c r="E31" s="58">
        <f t="shared" ca="1" si="21"/>
        <v>0</v>
      </c>
      <c r="F31" s="59">
        <f t="shared" ca="1" si="7"/>
        <v>0</v>
      </c>
      <c r="G31" s="58">
        <f t="shared" ca="1" si="14"/>
        <v>0</v>
      </c>
      <c r="H31" s="56">
        <f t="shared" ca="1" si="15"/>
        <v>0</v>
      </c>
      <c r="J31" s="52">
        <f t="shared" si="18"/>
        <v>16</v>
      </c>
      <c r="K31" s="57">
        <f t="shared" ca="1" si="16"/>
        <v>0</v>
      </c>
      <c r="L31" s="58">
        <f t="shared" ca="1" si="8"/>
        <v>0</v>
      </c>
      <c r="M31" s="59">
        <f t="shared" ca="1" si="9"/>
        <v>0</v>
      </c>
      <c r="N31" s="57">
        <f t="shared" ca="1" si="10"/>
        <v>0</v>
      </c>
      <c r="O31" s="261">
        <f t="shared" ca="1" si="11"/>
        <v>0</v>
      </c>
      <c r="P31" s="261">
        <f t="shared" ca="1" si="12"/>
        <v>0</v>
      </c>
      <c r="Q31" s="261">
        <f t="shared" ca="1" si="13"/>
        <v>0</v>
      </c>
    </row>
    <row r="32" spans="1:19" ht="19.5" thickBot="1">
      <c r="A32" s="56">
        <v>21</v>
      </c>
      <c r="B32" s="57">
        <f t="shared" ca="1" si="17"/>
        <v>0</v>
      </c>
      <c r="C32" s="58">
        <f ca="1">IF(+$D$7=4,0,B31*$D$4)</f>
        <v>0</v>
      </c>
      <c r="D32" s="59">
        <f t="shared" ca="1" si="5"/>
        <v>0</v>
      </c>
      <c r="E32" s="58">
        <f t="shared" ca="1" si="21"/>
        <v>0</v>
      </c>
      <c r="F32" s="59">
        <f t="shared" ca="1" si="7"/>
        <v>0</v>
      </c>
      <c r="G32" s="58">
        <f t="shared" ca="1" si="14"/>
        <v>0</v>
      </c>
      <c r="H32" s="56">
        <f t="shared" ca="1" si="15"/>
        <v>0</v>
      </c>
      <c r="J32" s="52">
        <f t="shared" si="18"/>
        <v>17</v>
      </c>
      <c r="K32" s="57">
        <f t="shared" ca="1" si="16"/>
        <v>0</v>
      </c>
      <c r="L32" s="58">
        <f t="shared" ca="1" si="8"/>
        <v>0</v>
      </c>
      <c r="M32" s="59">
        <f t="shared" ca="1" si="9"/>
        <v>0</v>
      </c>
      <c r="N32" s="57">
        <f t="shared" ca="1" si="10"/>
        <v>0</v>
      </c>
      <c r="O32" s="261">
        <f t="shared" ca="1" si="11"/>
        <v>0</v>
      </c>
      <c r="P32" s="261">
        <f t="shared" ca="1" si="12"/>
        <v>0</v>
      </c>
      <c r="Q32" s="261">
        <f t="shared" ca="1" si="13"/>
        <v>0</v>
      </c>
    </row>
    <row r="33" spans="1:17" ht="19.5" thickBot="1">
      <c r="A33" s="56">
        <v>22</v>
      </c>
      <c r="B33" s="57">
        <f t="shared" ca="1" si="17"/>
        <v>0</v>
      </c>
      <c r="C33" s="58">
        <f ca="1">B32*$D$4</f>
        <v>0</v>
      </c>
      <c r="D33" s="59">
        <f t="shared" ca="1" si="5"/>
        <v>0</v>
      </c>
      <c r="E33" s="58">
        <f t="shared" ca="1" si="21"/>
        <v>0</v>
      </c>
      <c r="F33" s="59">
        <f t="shared" ca="1" si="7"/>
        <v>0</v>
      </c>
      <c r="G33" s="58">
        <f t="shared" ca="1" si="14"/>
        <v>0</v>
      </c>
      <c r="H33" s="56">
        <f t="shared" ca="1" si="15"/>
        <v>0</v>
      </c>
      <c r="J33" s="52">
        <f t="shared" si="18"/>
        <v>18</v>
      </c>
      <c r="K33" s="57">
        <f t="shared" ca="1" si="16"/>
        <v>0</v>
      </c>
      <c r="L33" s="58">
        <f t="shared" ca="1" si="8"/>
        <v>0</v>
      </c>
      <c r="M33" s="59">
        <f t="shared" ca="1" si="9"/>
        <v>0</v>
      </c>
      <c r="N33" s="57">
        <f t="shared" ca="1" si="10"/>
        <v>0</v>
      </c>
      <c r="O33" s="261">
        <f t="shared" ca="1" si="11"/>
        <v>0</v>
      </c>
      <c r="P33" s="261">
        <f t="shared" ca="1" si="12"/>
        <v>0</v>
      </c>
      <c r="Q33" s="261">
        <f t="shared" ca="1" si="13"/>
        <v>0</v>
      </c>
    </row>
    <row r="34" spans="1:17" ht="19.5" thickBot="1">
      <c r="A34" s="56">
        <v>23</v>
      </c>
      <c r="B34" s="57">
        <f t="shared" ca="1" si="17"/>
        <v>0</v>
      </c>
      <c r="C34" s="58">
        <f ca="1">IF(+$D$7=4,0,B33*$D$4)</f>
        <v>0</v>
      </c>
      <c r="D34" s="59">
        <f t="shared" ca="1" si="5"/>
        <v>0</v>
      </c>
      <c r="E34" s="58">
        <f t="shared" ca="1" si="21"/>
        <v>0</v>
      </c>
      <c r="F34" s="59">
        <f t="shared" ca="1" si="7"/>
        <v>0</v>
      </c>
      <c r="G34" s="58">
        <f t="shared" ca="1" si="14"/>
        <v>0</v>
      </c>
      <c r="H34" s="56">
        <f t="shared" ca="1" si="15"/>
        <v>0</v>
      </c>
      <c r="J34" s="52">
        <f t="shared" si="18"/>
        <v>19</v>
      </c>
      <c r="K34" s="57">
        <f t="shared" ca="1" si="16"/>
        <v>0</v>
      </c>
      <c r="L34" s="58">
        <f t="shared" ca="1" si="8"/>
        <v>0</v>
      </c>
      <c r="M34" s="59">
        <f t="shared" ca="1" si="9"/>
        <v>0</v>
      </c>
      <c r="N34" s="57">
        <f t="shared" ca="1" si="10"/>
        <v>0</v>
      </c>
      <c r="O34" s="261">
        <f t="shared" ca="1" si="11"/>
        <v>0</v>
      </c>
      <c r="P34" s="261">
        <f t="shared" ca="1" si="12"/>
        <v>0</v>
      </c>
      <c r="Q34" s="261">
        <f t="shared" ca="1" si="13"/>
        <v>0</v>
      </c>
    </row>
    <row r="35" spans="1:17" ht="19.5" thickBot="1">
      <c r="A35" s="56">
        <v>24</v>
      </c>
      <c r="B35" s="57">
        <f t="shared" ca="1" si="17"/>
        <v>0</v>
      </c>
      <c r="C35" s="58">
        <f ca="1">IF(+$D$7=4,0,B34*$D$4)</f>
        <v>0</v>
      </c>
      <c r="D35" s="59">
        <f t="shared" ca="1" si="5"/>
        <v>0</v>
      </c>
      <c r="E35" s="58">
        <f t="shared" ca="1" si="21"/>
        <v>0</v>
      </c>
      <c r="F35" s="59">
        <f t="shared" ca="1" si="7"/>
        <v>0</v>
      </c>
      <c r="G35" s="58">
        <f t="shared" ca="1" si="14"/>
        <v>0</v>
      </c>
      <c r="H35" s="56">
        <f t="shared" ca="1" si="15"/>
        <v>0</v>
      </c>
      <c r="J35" s="52">
        <f t="shared" si="18"/>
        <v>20</v>
      </c>
      <c r="K35" s="57">
        <f t="shared" ca="1" si="16"/>
        <v>0</v>
      </c>
      <c r="L35" s="58">
        <f t="shared" ca="1" si="8"/>
        <v>0</v>
      </c>
      <c r="M35" s="59">
        <f t="shared" ca="1" si="9"/>
        <v>0</v>
      </c>
      <c r="N35" s="57">
        <f t="shared" ca="1" si="10"/>
        <v>0</v>
      </c>
      <c r="O35" s="261">
        <f t="shared" ca="1" si="11"/>
        <v>0</v>
      </c>
      <c r="P35" s="261">
        <f t="shared" ca="1" si="12"/>
        <v>0</v>
      </c>
      <c r="Q35" s="261">
        <f t="shared" ca="1" si="13"/>
        <v>0</v>
      </c>
    </row>
    <row r="36" spans="1:17" ht="19.5" thickBot="1">
      <c r="A36" s="56">
        <v>25</v>
      </c>
      <c r="B36" s="57">
        <f t="shared" ca="1" si="17"/>
        <v>0</v>
      </c>
      <c r="C36" s="58">
        <f ca="1">B35*$D$4</f>
        <v>0</v>
      </c>
      <c r="D36" s="59">
        <f t="shared" ca="1" si="5"/>
        <v>0</v>
      </c>
      <c r="E36" s="58">
        <f t="shared" ref="E36:E41" ca="1" si="22">IF(OR(C$6&gt;2,C36&lt;0.01),0,C$8-C36)</f>
        <v>0</v>
      </c>
      <c r="F36" s="59">
        <f t="shared" ca="1" si="7"/>
        <v>0</v>
      </c>
      <c r="G36" s="58">
        <f t="shared" ca="1" si="14"/>
        <v>0</v>
      </c>
      <c r="H36" s="56">
        <f t="shared" ca="1" si="15"/>
        <v>0</v>
      </c>
      <c r="J36" s="52">
        <f t="shared" si="18"/>
        <v>21</v>
      </c>
      <c r="K36" s="57">
        <f t="shared" ca="1" si="16"/>
        <v>0</v>
      </c>
      <c r="L36" s="58">
        <f t="shared" ca="1" si="8"/>
        <v>0</v>
      </c>
      <c r="M36" s="59">
        <f t="shared" ca="1" si="9"/>
        <v>0</v>
      </c>
      <c r="N36" s="57">
        <f t="shared" ca="1" si="10"/>
        <v>0</v>
      </c>
      <c r="O36" s="261">
        <f t="shared" ca="1" si="11"/>
        <v>0</v>
      </c>
      <c r="P36" s="261">
        <f t="shared" ca="1" si="12"/>
        <v>0</v>
      </c>
      <c r="Q36" s="261">
        <f t="shared" ca="1" si="13"/>
        <v>0</v>
      </c>
    </row>
    <row r="37" spans="1:17" ht="19.5" thickBot="1">
      <c r="A37" s="56">
        <v>26</v>
      </c>
      <c r="B37" s="57">
        <f t="shared" ca="1" si="17"/>
        <v>0</v>
      </c>
      <c r="C37" s="58">
        <f ca="1">IF(+$D$7=4,0,B36*$D$4)</f>
        <v>0</v>
      </c>
      <c r="D37" s="59">
        <f t="shared" ca="1" si="5"/>
        <v>0</v>
      </c>
      <c r="E37" s="58">
        <f t="shared" ca="1" si="22"/>
        <v>0</v>
      </c>
      <c r="F37" s="59">
        <f t="shared" ca="1" si="7"/>
        <v>0</v>
      </c>
      <c r="G37" s="58">
        <f t="shared" ca="1" si="14"/>
        <v>0</v>
      </c>
      <c r="H37" s="56">
        <f t="shared" ca="1" si="15"/>
        <v>0</v>
      </c>
      <c r="J37" s="52">
        <f t="shared" si="18"/>
        <v>22</v>
      </c>
      <c r="K37" s="57">
        <f t="shared" ca="1" si="16"/>
        <v>0</v>
      </c>
      <c r="L37" s="58">
        <f t="shared" ca="1" si="8"/>
        <v>0</v>
      </c>
      <c r="M37" s="59">
        <f t="shared" ca="1" si="9"/>
        <v>0</v>
      </c>
      <c r="N37" s="57">
        <f t="shared" ca="1" si="10"/>
        <v>0</v>
      </c>
      <c r="O37" s="261">
        <f t="shared" ca="1" si="11"/>
        <v>0</v>
      </c>
      <c r="P37" s="261">
        <f t="shared" ca="1" si="12"/>
        <v>0</v>
      </c>
      <c r="Q37" s="261">
        <f t="shared" ca="1" si="13"/>
        <v>0</v>
      </c>
    </row>
    <row r="38" spans="1:17" ht="19.5" thickBot="1">
      <c r="A38" s="56">
        <v>27</v>
      </c>
      <c r="B38" s="57">
        <f t="shared" ca="1" si="17"/>
        <v>0</v>
      </c>
      <c r="C38" s="58">
        <f ca="1">IF(+$D$7=4,0,B37*$D$4)</f>
        <v>0</v>
      </c>
      <c r="D38" s="59">
        <f t="shared" ca="1" si="5"/>
        <v>0</v>
      </c>
      <c r="E38" s="58">
        <f t="shared" ca="1" si="22"/>
        <v>0</v>
      </c>
      <c r="F38" s="59">
        <f t="shared" ca="1" si="7"/>
        <v>0</v>
      </c>
      <c r="G38" s="58">
        <f t="shared" ca="1" si="14"/>
        <v>0</v>
      </c>
      <c r="H38" s="56">
        <f t="shared" ca="1" si="15"/>
        <v>0</v>
      </c>
      <c r="J38" s="52">
        <f t="shared" si="18"/>
        <v>23</v>
      </c>
      <c r="K38" s="57">
        <f t="shared" ca="1" si="16"/>
        <v>0</v>
      </c>
      <c r="L38" s="58">
        <f t="shared" ca="1" si="8"/>
        <v>0</v>
      </c>
      <c r="M38" s="59">
        <f t="shared" ca="1" si="9"/>
        <v>0</v>
      </c>
      <c r="N38" s="57">
        <f t="shared" ca="1" si="10"/>
        <v>0</v>
      </c>
      <c r="O38" s="261">
        <f t="shared" ca="1" si="11"/>
        <v>0</v>
      </c>
      <c r="P38" s="261">
        <f t="shared" ca="1" si="12"/>
        <v>0</v>
      </c>
      <c r="Q38" s="261">
        <f t="shared" ca="1" si="13"/>
        <v>0</v>
      </c>
    </row>
    <row r="39" spans="1:17" ht="19.5" thickBot="1">
      <c r="A39" s="56">
        <v>28</v>
      </c>
      <c r="B39" s="57">
        <f t="shared" ca="1" si="17"/>
        <v>0</v>
      </c>
      <c r="C39" s="58">
        <f ca="1">B38*$D$4</f>
        <v>0</v>
      </c>
      <c r="D39" s="59">
        <f t="shared" ca="1" si="5"/>
        <v>0</v>
      </c>
      <c r="E39" s="58">
        <f t="shared" ca="1" si="22"/>
        <v>0</v>
      </c>
      <c r="F39" s="59">
        <f t="shared" ca="1" si="7"/>
        <v>0</v>
      </c>
      <c r="G39" s="58">
        <f t="shared" ca="1" si="14"/>
        <v>0</v>
      </c>
      <c r="H39" s="56">
        <f t="shared" ca="1" si="15"/>
        <v>0</v>
      </c>
      <c r="J39" s="52">
        <f t="shared" si="18"/>
        <v>24</v>
      </c>
      <c r="K39" s="57">
        <f t="shared" ca="1" si="16"/>
        <v>0</v>
      </c>
      <c r="L39" s="58">
        <f t="shared" ca="1" si="8"/>
        <v>0</v>
      </c>
      <c r="M39" s="59">
        <f t="shared" ca="1" si="9"/>
        <v>0</v>
      </c>
      <c r="N39" s="57">
        <f t="shared" ca="1" si="10"/>
        <v>0</v>
      </c>
      <c r="O39" s="261">
        <f t="shared" ca="1" si="11"/>
        <v>0</v>
      </c>
      <c r="P39" s="261">
        <f t="shared" ca="1" si="12"/>
        <v>0</v>
      </c>
      <c r="Q39" s="261">
        <f t="shared" ca="1" si="13"/>
        <v>0</v>
      </c>
    </row>
    <row r="40" spans="1:17" ht="19.5" thickBot="1">
      <c r="A40" s="56">
        <v>29</v>
      </c>
      <c r="B40" s="57">
        <f t="shared" ca="1" si="17"/>
        <v>0</v>
      </c>
      <c r="C40" s="58">
        <f ca="1">IF(+$D$7=4,0,B39*$D$4)</f>
        <v>0</v>
      </c>
      <c r="D40" s="59">
        <f t="shared" ca="1" si="5"/>
        <v>0</v>
      </c>
      <c r="E40" s="58">
        <f t="shared" ca="1" si="22"/>
        <v>0</v>
      </c>
      <c r="F40" s="59">
        <f t="shared" ca="1" si="7"/>
        <v>0</v>
      </c>
      <c r="G40" s="58">
        <f t="shared" ca="1" si="14"/>
        <v>0</v>
      </c>
      <c r="H40" s="56">
        <f t="shared" ca="1" si="15"/>
        <v>0</v>
      </c>
      <c r="J40" s="52">
        <f t="shared" si="18"/>
        <v>25</v>
      </c>
      <c r="K40" s="57">
        <f t="shared" ca="1" si="16"/>
        <v>0</v>
      </c>
      <c r="L40" s="58">
        <f t="shared" ca="1" si="8"/>
        <v>0</v>
      </c>
      <c r="M40" s="59">
        <f t="shared" ca="1" si="9"/>
        <v>0</v>
      </c>
      <c r="N40" s="57">
        <f t="shared" ca="1" si="10"/>
        <v>0</v>
      </c>
      <c r="O40" s="261">
        <f t="shared" ca="1" si="11"/>
        <v>0</v>
      </c>
      <c r="P40" s="261">
        <f t="shared" ca="1" si="12"/>
        <v>0</v>
      </c>
      <c r="Q40" s="261">
        <f t="shared" ca="1" si="13"/>
        <v>0</v>
      </c>
    </row>
    <row r="41" spans="1:17" ht="19.5" thickBot="1">
      <c r="A41" s="56">
        <v>30</v>
      </c>
      <c r="B41" s="57">
        <f t="shared" ca="1" si="17"/>
        <v>0</v>
      </c>
      <c r="C41" s="58">
        <f ca="1">IF(+$D$7=4,0,B40*$D$4)</f>
        <v>0</v>
      </c>
      <c r="D41" s="59">
        <f t="shared" ca="1" si="5"/>
        <v>0</v>
      </c>
      <c r="E41" s="58">
        <f t="shared" ca="1" si="22"/>
        <v>0</v>
      </c>
      <c r="F41" s="59">
        <f t="shared" ca="1" si="7"/>
        <v>0</v>
      </c>
      <c r="G41" s="58">
        <f t="shared" ca="1" si="14"/>
        <v>0</v>
      </c>
      <c r="H41" s="56">
        <f t="shared" ca="1" si="15"/>
        <v>0</v>
      </c>
      <c r="J41" s="52">
        <f t="shared" si="18"/>
        <v>26</v>
      </c>
      <c r="K41" s="57">
        <f t="shared" ca="1" si="16"/>
        <v>0</v>
      </c>
      <c r="L41" s="58">
        <f t="shared" ca="1" si="8"/>
        <v>0</v>
      </c>
      <c r="M41" s="59">
        <f t="shared" ca="1" si="9"/>
        <v>0</v>
      </c>
      <c r="N41" s="57">
        <f t="shared" ca="1" si="10"/>
        <v>0</v>
      </c>
      <c r="O41" s="261">
        <f t="shared" ca="1" si="11"/>
        <v>0</v>
      </c>
      <c r="P41" s="261">
        <f t="shared" ca="1" si="12"/>
        <v>0</v>
      </c>
      <c r="Q41" s="261">
        <f t="shared" ca="1" si="13"/>
        <v>0</v>
      </c>
    </row>
    <row r="42" spans="1:17" ht="19.5" thickBot="1">
      <c r="A42" s="56">
        <v>31</v>
      </c>
      <c r="B42" s="57">
        <f t="shared" ca="1" si="17"/>
        <v>0</v>
      </c>
      <c r="C42" s="58">
        <f ca="1">B41*$D$4</f>
        <v>0</v>
      </c>
      <c r="D42" s="59">
        <f t="shared" ca="1" si="5"/>
        <v>0</v>
      </c>
      <c r="E42" s="58">
        <f t="shared" ref="E42:E47" ca="1" si="23">IF(OR(C$6&gt;2.5,C42&lt;0.01),0,C$8-C42)</f>
        <v>0</v>
      </c>
      <c r="F42" s="59">
        <f t="shared" ca="1" si="7"/>
        <v>0</v>
      </c>
      <c r="G42" s="58">
        <f t="shared" ca="1" si="14"/>
        <v>0</v>
      </c>
      <c r="H42" s="56">
        <f t="shared" ca="1" si="15"/>
        <v>0</v>
      </c>
      <c r="J42" s="52">
        <f t="shared" si="18"/>
        <v>27</v>
      </c>
      <c r="K42" s="57">
        <f t="shared" ca="1" si="16"/>
        <v>0</v>
      </c>
      <c r="L42" s="58">
        <f t="shared" ca="1" si="8"/>
        <v>0</v>
      </c>
      <c r="M42" s="59">
        <f t="shared" ca="1" si="9"/>
        <v>0</v>
      </c>
      <c r="N42" s="57">
        <f t="shared" ca="1" si="10"/>
        <v>0</v>
      </c>
      <c r="O42" s="261">
        <f t="shared" ca="1" si="11"/>
        <v>0</v>
      </c>
      <c r="P42" s="261">
        <f t="shared" ca="1" si="12"/>
        <v>0</v>
      </c>
      <c r="Q42" s="261">
        <f t="shared" ca="1" si="13"/>
        <v>0</v>
      </c>
    </row>
    <row r="43" spans="1:17" ht="19.5" thickBot="1">
      <c r="A43" s="56">
        <v>32</v>
      </c>
      <c r="B43" s="57">
        <f t="shared" ca="1" si="17"/>
        <v>0</v>
      </c>
      <c r="C43" s="58">
        <f ca="1">IF(+$D$7=4,0,B42*$D$4)</f>
        <v>0</v>
      </c>
      <c r="D43" s="59">
        <f t="shared" ca="1" si="5"/>
        <v>0</v>
      </c>
      <c r="E43" s="58">
        <f t="shared" ca="1" si="23"/>
        <v>0</v>
      </c>
      <c r="F43" s="59">
        <f t="shared" ca="1" si="7"/>
        <v>0</v>
      </c>
      <c r="G43" s="58">
        <f t="shared" ca="1" si="14"/>
        <v>0</v>
      </c>
      <c r="H43" s="56">
        <f t="shared" ca="1" si="15"/>
        <v>0</v>
      </c>
      <c r="J43" s="52">
        <f t="shared" si="18"/>
        <v>28</v>
      </c>
      <c r="K43" s="57">
        <f t="shared" ca="1" si="16"/>
        <v>0</v>
      </c>
      <c r="L43" s="58">
        <f t="shared" ca="1" si="8"/>
        <v>0</v>
      </c>
      <c r="M43" s="59">
        <f t="shared" ca="1" si="9"/>
        <v>0</v>
      </c>
      <c r="N43" s="57">
        <f t="shared" ca="1" si="10"/>
        <v>0</v>
      </c>
      <c r="O43" s="261">
        <f t="shared" ca="1" si="11"/>
        <v>0</v>
      </c>
      <c r="P43" s="261">
        <f t="shared" ca="1" si="12"/>
        <v>0</v>
      </c>
      <c r="Q43" s="261">
        <f t="shared" ca="1" si="13"/>
        <v>0</v>
      </c>
    </row>
    <row r="44" spans="1:17" ht="19.5" thickBot="1">
      <c r="A44" s="56">
        <v>33</v>
      </c>
      <c r="B44" s="57">
        <f t="shared" ca="1" si="17"/>
        <v>0</v>
      </c>
      <c r="C44" s="58">
        <f ca="1">IF(+$D$7=4,0,B43*$D$4)</f>
        <v>0</v>
      </c>
      <c r="D44" s="59">
        <f t="shared" ca="1" si="5"/>
        <v>0</v>
      </c>
      <c r="E44" s="58">
        <f t="shared" ca="1" si="23"/>
        <v>0</v>
      </c>
      <c r="F44" s="59">
        <f ca="1">IF(D44=0,0,F43+E44)</f>
        <v>0</v>
      </c>
      <c r="G44" s="58">
        <f t="shared" ca="1" si="14"/>
        <v>0</v>
      </c>
      <c r="H44" s="56">
        <f t="shared" ca="1" si="15"/>
        <v>0</v>
      </c>
      <c r="J44" s="52">
        <f t="shared" si="18"/>
        <v>29</v>
      </c>
      <c r="K44" s="57">
        <f t="shared" ca="1" si="16"/>
        <v>0</v>
      </c>
      <c r="L44" s="58">
        <f t="shared" ca="1" si="8"/>
        <v>0</v>
      </c>
      <c r="M44" s="59">
        <f t="shared" ca="1" si="9"/>
        <v>0</v>
      </c>
      <c r="N44" s="57">
        <f t="shared" ca="1" si="10"/>
        <v>0</v>
      </c>
      <c r="O44" s="261">
        <f t="shared" ca="1" si="11"/>
        <v>0</v>
      </c>
      <c r="P44" s="261">
        <f t="shared" ca="1" si="12"/>
        <v>0</v>
      </c>
      <c r="Q44" s="261">
        <f t="shared" ca="1" si="13"/>
        <v>0</v>
      </c>
    </row>
    <row r="45" spans="1:17" ht="19.5" thickBot="1">
      <c r="A45" s="56">
        <v>34</v>
      </c>
      <c r="B45" s="57">
        <f t="shared" ca="1" si="17"/>
        <v>0</v>
      </c>
      <c r="C45" s="58">
        <f ca="1">B44*$D$4</f>
        <v>0</v>
      </c>
      <c r="D45" s="59">
        <f t="shared" ca="1" si="5"/>
        <v>0</v>
      </c>
      <c r="E45" s="58">
        <f t="shared" ca="1" si="23"/>
        <v>0</v>
      </c>
      <c r="F45" s="59">
        <f ca="1">IF(D45=0,0,F44+E45)</f>
        <v>0</v>
      </c>
      <c r="G45" s="58">
        <f t="shared" ca="1" si="14"/>
        <v>0</v>
      </c>
      <c r="H45" s="56">
        <f t="shared" ca="1" si="15"/>
        <v>0</v>
      </c>
      <c r="J45" s="52">
        <f t="shared" si="18"/>
        <v>30</v>
      </c>
      <c r="K45" s="57">
        <f t="shared" ca="1" si="16"/>
        <v>0</v>
      </c>
      <c r="L45" s="58">
        <f t="shared" ca="1" si="8"/>
        <v>0</v>
      </c>
      <c r="M45" s="59">
        <f t="shared" ca="1" si="9"/>
        <v>0</v>
      </c>
      <c r="N45" s="57">
        <f t="shared" ca="1" si="10"/>
        <v>0</v>
      </c>
      <c r="O45" s="261">
        <f t="shared" ca="1" si="11"/>
        <v>0</v>
      </c>
      <c r="P45" s="261">
        <f t="shared" ca="1" si="12"/>
        <v>0</v>
      </c>
      <c r="Q45" s="261">
        <f t="shared" ca="1" si="13"/>
        <v>0</v>
      </c>
    </row>
    <row r="46" spans="1:17" ht="19.5" thickBot="1">
      <c r="A46" s="56">
        <v>35</v>
      </c>
      <c r="B46" s="57">
        <f t="shared" ca="1" si="17"/>
        <v>0</v>
      </c>
      <c r="C46" s="58">
        <f ca="1">IF(+$D$7=4,0,B45*$D$4)</f>
        <v>0</v>
      </c>
      <c r="D46" s="59">
        <f t="shared" ca="1" si="5"/>
        <v>0</v>
      </c>
      <c r="E46" s="58">
        <f t="shared" ca="1" si="23"/>
        <v>0</v>
      </c>
      <c r="F46" s="59">
        <f ca="1">IF(D46=0,0,F45+E46)</f>
        <v>0</v>
      </c>
      <c r="G46" s="58">
        <f t="shared" ca="1" si="14"/>
        <v>0</v>
      </c>
      <c r="H46" s="56">
        <f t="shared" ca="1" si="15"/>
        <v>0</v>
      </c>
      <c r="J46" s="52">
        <f t="shared" si="18"/>
        <v>31</v>
      </c>
      <c r="K46" s="57">
        <f t="shared" ca="1" si="16"/>
        <v>0</v>
      </c>
      <c r="L46" s="58">
        <f t="shared" ca="1" si="8"/>
        <v>0</v>
      </c>
      <c r="M46" s="59">
        <f t="shared" ca="1" si="9"/>
        <v>0</v>
      </c>
      <c r="N46" s="57">
        <f t="shared" ca="1" si="10"/>
        <v>0</v>
      </c>
      <c r="O46" s="261">
        <f t="shared" ca="1" si="11"/>
        <v>0</v>
      </c>
      <c r="P46" s="261">
        <f t="shared" ca="1" si="12"/>
        <v>0</v>
      </c>
      <c r="Q46" s="261">
        <f t="shared" ca="1" si="13"/>
        <v>0</v>
      </c>
    </row>
    <row r="47" spans="1:17" ht="19.5" thickBot="1">
      <c r="A47" s="56">
        <v>36</v>
      </c>
      <c r="B47" s="57">
        <f t="shared" ca="1" si="17"/>
        <v>0</v>
      </c>
      <c r="C47" s="58">
        <f ca="1">IF(+$D$7=4,0,B46*$D$4)</f>
        <v>0</v>
      </c>
      <c r="D47" s="59">
        <f t="shared" ca="1" si="5"/>
        <v>0</v>
      </c>
      <c r="E47" s="58">
        <f t="shared" ca="1" si="23"/>
        <v>0</v>
      </c>
      <c r="F47" s="59">
        <f ca="1">IF(D47=0,0,F46+E47)</f>
        <v>0</v>
      </c>
      <c r="G47" s="58">
        <f t="shared" ca="1" si="14"/>
        <v>0</v>
      </c>
      <c r="H47" s="56">
        <f t="shared" ca="1" si="15"/>
        <v>0</v>
      </c>
      <c r="J47" s="52">
        <f t="shared" si="18"/>
        <v>32</v>
      </c>
      <c r="K47" s="57">
        <f t="shared" ca="1" si="16"/>
        <v>0</v>
      </c>
      <c r="L47" s="58">
        <f t="shared" ca="1" si="8"/>
        <v>0</v>
      </c>
      <c r="M47" s="59">
        <f t="shared" ca="1" si="9"/>
        <v>0</v>
      </c>
      <c r="N47" s="57">
        <f t="shared" ca="1" si="10"/>
        <v>0</v>
      </c>
      <c r="O47" s="261">
        <f t="shared" ca="1" si="11"/>
        <v>0</v>
      </c>
      <c r="P47" s="261">
        <f t="shared" ca="1" si="12"/>
        <v>0</v>
      </c>
      <c r="Q47" s="261">
        <f t="shared" ca="1" si="13"/>
        <v>0</v>
      </c>
    </row>
    <row r="48" spans="1:17" ht="19.5" thickBot="1">
      <c r="A48" s="56">
        <v>37</v>
      </c>
      <c r="B48" s="57">
        <f t="shared" ca="1" si="17"/>
        <v>0</v>
      </c>
      <c r="C48" s="58">
        <f ca="1">B47*$D$4</f>
        <v>0</v>
      </c>
      <c r="D48" s="59">
        <f t="shared" ca="1" si="5"/>
        <v>0</v>
      </c>
      <c r="E48" s="58">
        <f t="shared" ref="E48:E53" ca="1" si="24">IF(OR(C$6&gt;3,C48&lt;0.01),0,C$8-C48)</f>
        <v>0</v>
      </c>
      <c r="F48" s="59">
        <f t="shared" ref="F48:F111" ca="1" si="25">IF(D48=0,0,F47+E48)</f>
        <v>0</v>
      </c>
      <c r="G48" s="58">
        <f t="shared" ca="1" si="14"/>
        <v>0</v>
      </c>
      <c r="H48" s="56">
        <f t="shared" ca="1" si="15"/>
        <v>0</v>
      </c>
      <c r="J48" s="52">
        <f t="shared" si="18"/>
        <v>33</v>
      </c>
      <c r="K48" s="57">
        <f t="shared" ca="1" si="16"/>
        <v>0</v>
      </c>
      <c r="L48" s="58">
        <f t="shared" ca="1" si="8"/>
        <v>0</v>
      </c>
      <c r="M48" s="59">
        <f t="shared" ca="1" si="9"/>
        <v>0</v>
      </c>
      <c r="N48" s="57">
        <f t="shared" ca="1" si="10"/>
        <v>0</v>
      </c>
      <c r="O48" s="261">
        <f t="shared" ca="1" si="11"/>
        <v>0</v>
      </c>
      <c r="P48" s="261">
        <f t="shared" ca="1" si="12"/>
        <v>0</v>
      </c>
      <c r="Q48" s="261">
        <f t="shared" ca="1" si="13"/>
        <v>0</v>
      </c>
    </row>
    <row r="49" spans="1:17" ht="19.5" thickBot="1">
      <c r="A49" s="56">
        <v>38</v>
      </c>
      <c r="B49" s="57">
        <f t="shared" ca="1" si="17"/>
        <v>0</v>
      </c>
      <c r="C49" s="58">
        <f ca="1">IF(+$D$7=4,0,B48*$D$4)</f>
        <v>0</v>
      </c>
      <c r="D49" s="59">
        <f t="shared" ca="1" si="5"/>
        <v>0</v>
      </c>
      <c r="E49" s="58">
        <f t="shared" ca="1" si="24"/>
        <v>0</v>
      </c>
      <c r="F49" s="59">
        <f t="shared" ca="1" si="25"/>
        <v>0</v>
      </c>
      <c r="G49" s="58">
        <f t="shared" ca="1" si="14"/>
        <v>0</v>
      </c>
      <c r="H49" s="56">
        <f t="shared" ca="1" si="15"/>
        <v>0</v>
      </c>
      <c r="J49" s="52">
        <f t="shared" si="18"/>
        <v>34</v>
      </c>
      <c r="K49" s="57">
        <f t="shared" ca="1" si="16"/>
        <v>0</v>
      </c>
      <c r="L49" s="58">
        <f t="shared" ca="1" si="8"/>
        <v>0</v>
      </c>
      <c r="M49" s="59">
        <f t="shared" ca="1" si="9"/>
        <v>0</v>
      </c>
      <c r="N49" s="57">
        <f t="shared" ca="1" si="10"/>
        <v>0</v>
      </c>
      <c r="O49" s="261">
        <f t="shared" ca="1" si="11"/>
        <v>0</v>
      </c>
      <c r="P49" s="261">
        <f t="shared" ca="1" si="12"/>
        <v>0</v>
      </c>
      <c r="Q49" s="261">
        <f t="shared" ca="1" si="13"/>
        <v>0</v>
      </c>
    </row>
    <row r="50" spans="1:17" ht="19.5" thickBot="1">
      <c r="A50" s="56">
        <v>39</v>
      </c>
      <c r="B50" s="57">
        <f t="shared" ca="1" si="17"/>
        <v>0</v>
      </c>
      <c r="C50" s="58">
        <f ca="1">IF(+$D$7=4,0,B49*$D$4)</f>
        <v>0</v>
      </c>
      <c r="D50" s="59">
        <f t="shared" ca="1" si="5"/>
        <v>0</v>
      </c>
      <c r="E50" s="58">
        <f t="shared" ca="1" si="24"/>
        <v>0</v>
      </c>
      <c r="F50" s="59">
        <f t="shared" ca="1" si="25"/>
        <v>0</v>
      </c>
      <c r="G50" s="58">
        <f t="shared" ca="1" si="14"/>
        <v>0</v>
      </c>
      <c r="H50" s="56">
        <f t="shared" ca="1" si="15"/>
        <v>0</v>
      </c>
      <c r="J50" s="52">
        <f t="shared" si="18"/>
        <v>35</v>
      </c>
      <c r="K50" s="57">
        <f t="shared" ca="1" si="16"/>
        <v>0</v>
      </c>
      <c r="L50" s="58">
        <f t="shared" ca="1" si="8"/>
        <v>0</v>
      </c>
      <c r="M50" s="59">
        <f t="shared" ca="1" si="9"/>
        <v>0</v>
      </c>
      <c r="N50" s="57">
        <f t="shared" ca="1" si="10"/>
        <v>0</v>
      </c>
      <c r="O50" s="261">
        <f t="shared" ca="1" si="11"/>
        <v>0</v>
      </c>
      <c r="P50" s="261">
        <f t="shared" ca="1" si="12"/>
        <v>0</v>
      </c>
      <c r="Q50" s="261">
        <f t="shared" ca="1" si="13"/>
        <v>0</v>
      </c>
    </row>
    <row r="51" spans="1:17" ht="19.5" thickBot="1">
      <c r="A51" s="56">
        <v>40</v>
      </c>
      <c r="B51" s="57">
        <f t="shared" ca="1" si="17"/>
        <v>0</v>
      </c>
      <c r="C51" s="58">
        <f ca="1">B50*$D$4</f>
        <v>0</v>
      </c>
      <c r="D51" s="59">
        <f t="shared" ca="1" si="5"/>
        <v>0</v>
      </c>
      <c r="E51" s="58">
        <f t="shared" ca="1" si="24"/>
        <v>0</v>
      </c>
      <c r="F51" s="59">
        <f t="shared" ca="1" si="25"/>
        <v>0</v>
      </c>
      <c r="G51" s="58">
        <f t="shared" ca="1" si="14"/>
        <v>0</v>
      </c>
      <c r="H51" s="56">
        <f t="shared" ca="1" si="15"/>
        <v>0</v>
      </c>
      <c r="J51" s="52">
        <f t="shared" si="18"/>
        <v>36</v>
      </c>
      <c r="K51" s="57">
        <f t="shared" ca="1" si="16"/>
        <v>0</v>
      </c>
      <c r="L51" s="58">
        <f t="shared" ca="1" si="8"/>
        <v>0</v>
      </c>
      <c r="M51" s="59">
        <f t="shared" ca="1" si="9"/>
        <v>0</v>
      </c>
      <c r="N51" s="57">
        <f t="shared" ca="1" si="10"/>
        <v>0</v>
      </c>
      <c r="O51" s="261">
        <f t="shared" ca="1" si="11"/>
        <v>0</v>
      </c>
      <c r="P51" s="261">
        <f t="shared" ca="1" si="12"/>
        <v>0</v>
      </c>
      <c r="Q51" s="261">
        <f t="shared" ca="1" si="13"/>
        <v>0</v>
      </c>
    </row>
    <row r="52" spans="1:17" ht="19.5" thickBot="1">
      <c r="A52" s="56">
        <v>41</v>
      </c>
      <c r="B52" s="57">
        <f t="shared" ca="1" si="17"/>
        <v>0</v>
      </c>
      <c r="C52" s="58">
        <f ca="1">IF(+$D$7=4,0,B51*$D$4)</f>
        <v>0</v>
      </c>
      <c r="D52" s="59">
        <f t="shared" ca="1" si="5"/>
        <v>0</v>
      </c>
      <c r="E52" s="58">
        <f t="shared" ca="1" si="24"/>
        <v>0</v>
      </c>
      <c r="F52" s="59">
        <f t="shared" ca="1" si="25"/>
        <v>0</v>
      </c>
      <c r="G52" s="58">
        <f t="shared" ca="1" si="14"/>
        <v>0</v>
      </c>
      <c r="H52" s="56">
        <f t="shared" ca="1" si="15"/>
        <v>0</v>
      </c>
      <c r="J52" s="52">
        <f t="shared" si="18"/>
        <v>37</v>
      </c>
      <c r="K52" s="57">
        <f t="shared" ca="1" si="16"/>
        <v>0</v>
      </c>
      <c r="L52" s="58">
        <f t="shared" ca="1" si="8"/>
        <v>0</v>
      </c>
      <c r="M52" s="59">
        <f t="shared" ca="1" si="9"/>
        <v>0</v>
      </c>
      <c r="N52" s="57">
        <f t="shared" ca="1" si="10"/>
        <v>0</v>
      </c>
      <c r="O52" s="261">
        <f t="shared" ca="1" si="11"/>
        <v>0</v>
      </c>
      <c r="P52" s="261">
        <f t="shared" ca="1" si="12"/>
        <v>0</v>
      </c>
      <c r="Q52" s="261">
        <f t="shared" ca="1" si="13"/>
        <v>0</v>
      </c>
    </row>
    <row r="53" spans="1:17" ht="19.5" thickBot="1">
      <c r="A53" s="56">
        <v>42</v>
      </c>
      <c r="B53" s="57">
        <f t="shared" ca="1" si="17"/>
        <v>0</v>
      </c>
      <c r="C53" s="58">
        <f ca="1">IF(+$D$7=4,0,B52*$D$4)</f>
        <v>0</v>
      </c>
      <c r="D53" s="59">
        <f t="shared" ca="1" si="5"/>
        <v>0</v>
      </c>
      <c r="E53" s="58">
        <f t="shared" ca="1" si="24"/>
        <v>0</v>
      </c>
      <c r="F53" s="59">
        <f t="shared" ca="1" si="25"/>
        <v>0</v>
      </c>
      <c r="G53" s="58">
        <f t="shared" ca="1" si="14"/>
        <v>0</v>
      </c>
      <c r="H53" s="56">
        <f t="shared" ca="1" si="15"/>
        <v>0</v>
      </c>
      <c r="J53" s="52">
        <f t="shared" si="18"/>
        <v>38</v>
      </c>
      <c r="K53" s="57">
        <f t="shared" ca="1" si="16"/>
        <v>0</v>
      </c>
      <c r="L53" s="58">
        <f t="shared" ca="1" si="8"/>
        <v>0</v>
      </c>
      <c r="M53" s="59">
        <f t="shared" ca="1" si="9"/>
        <v>0</v>
      </c>
      <c r="N53" s="57">
        <f t="shared" ca="1" si="10"/>
        <v>0</v>
      </c>
      <c r="O53" s="261">
        <f t="shared" ca="1" si="11"/>
        <v>0</v>
      </c>
      <c r="P53" s="261">
        <f t="shared" ca="1" si="12"/>
        <v>0</v>
      </c>
      <c r="Q53" s="261">
        <f t="shared" ca="1" si="13"/>
        <v>0</v>
      </c>
    </row>
    <row r="54" spans="1:17" ht="19.5" thickBot="1">
      <c r="A54" s="56">
        <v>43</v>
      </c>
      <c r="B54" s="57">
        <f t="shared" ca="1" si="17"/>
        <v>0</v>
      </c>
      <c r="C54" s="58">
        <f ca="1">B53*$D$4</f>
        <v>0</v>
      </c>
      <c r="D54" s="59">
        <f t="shared" ca="1" si="5"/>
        <v>0</v>
      </c>
      <c r="E54" s="58">
        <f t="shared" ref="E54:E59" ca="1" si="26">IF(OR(C$6&gt;3.5,C54&lt;0.01),0,C$8-C54)</f>
        <v>0</v>
      </c>
      <c r="F54" s="59">
        <f t="shared" ca="1" si="25"/>
        <v>0</v>
      </c>
      <c r="G54" s="58">
        <f t="shared" ca="1" si="14"/>
        <v>0</v>
      </c>
      <c r="H54" s="56">
        <f t="shared" ca="1" si="15"/>
        <v>0</v>
      </c>
      <c r="J54" s="52">
        <f t="shared" si="18"/>
        <v>39</v>
      </c>
      <c r="K54" s="57">
        <f t="shared" ca="1" si="16"/>
        <v>0</v>
      </c>
      <c r="L54" s="58">
        <f t="shared" ca="1" si="8"/>
        <v>0</v>
      </c>
      <c r="M54" s="59">
        <f t="shared" ca="1" si="9"/>
        <v>0</v>
      </c>
      <c r="N54" s="57">
        <f t="shared" ca="1" si="10"/>
        <v>0</v>
      </c>
      <c r="O54" s="261">
        <f t="shared" ca="1" si="11"/>
        <v>0</v>
      </c>
      <c r="P54" s="261">
        <f t="shared" ca="1" si="12"/>
        <v>0</v>
      </c>
      <c r="Q54" s="261">
        <f t="shared" ca="1" si="13"/>
        <v>0</v>
      </c>
    </row>
    <row r="55" spans="1:17" ht="19.5" thickBot="1">
      <c r="A55" s="56">
        <v>44</v>
      </c>
      <c r="B55" s="57">
        <f t="shared" ca="1" si="17"/>
        <v>0</v>
      </c>
      <c r="C55" s="58">
        <f ca="1">IF(+$D$7=4,0,B54*$D$4)</f>
        <v>0</v>
      </c>
      <c r="D55" s="59">
        <f t="shared" ca="1" si="5"/>
        <v>0</v>
      </c>
      <c r="E55" s="58">
        <f t="shared" ca="1" si="26"/>
        <v>0</v>
      </c>
      <c r="F55" s="59">
        <f t="shared" ca="1" si="25"/>
        <v>0</v>
      </c>
      <c r="G55" s="58">
        <f t="shared" ca="1" si="14"/>
        <v>0</v>
      </c>
      <c r="H55" s="56">
        <f t="shared" ca="1" si="15"/>
        <v>0</v>
      </c>
      <c r="J55" s="52">
        <f t="shared" si="18"/>
        <v>40</v>
      </c>
      <c r="K55" s="57">
        <f t="shared" ca="1" si="16"/>
        <v>0</v>
      </c>
      <c r="L55" s="58">
        <f t="shared" ca="1" si="8"/>
        <v>0</v>
      </c>
      <c r="M55" s="59">
        <f t="shared" ca="1" si="9"/>
        <v>0</v>
      </c>
      <c r="N55" s="57">
        <f t="shared" ca="1" si="10"/>
        <v>0</v>
      </c>
      <c r="O55" s="261">
        <f t="shared" ca="1" si="11"/>
        <v>0</v>
      </c>
      <c r="P55" s="261">
        <f t="shared" ca="1" si="12"/>
        <v>0</v>
      </c>
      <c r="Q55" s="261">
        <f t="shared" ca="1" si="13"/>
        <v>0</v>
      </c>
    </row>
    <row r="56" spans="1:17" ht="19.5" thickBot="1">
      <c r="A56" s="56">
        <v>45</v>
      </c>
      <c r="B56" s="57">
        <f t="shared" ca="1" si="17"/>
        <v>0</v>
      </c>
      <c r="C56" s="58">
        <f ca="1">IF(+$D$7=4,0,B55*$D$4)</f>
        <v>0</v>
      </c>
      <c r="D56" s="59">
        <f t="shared" ca="1" si="5"/>
        <v>0</v>
      </c>
      <c r="E56" s="58">
        <f t="shared" ca="1" si="26"/>
        <v>0</v>
      </c>
      <c r="F56" s="59">
        <f t="shared" ca="1" si="25"/>
        <v>0</v>
      </c>
      <c r="G56" s="58">
        <f t="shared" ca="1" si="14"/>
        <v>0</v>
      </c>
      <c r="H56" s="56">
        <f t="shared" ca="1" si="15"/>
        <v>0</v>
      </c>
      <c r="J56" s="52">
        <f t="shared" si="18"/>
        <v>41</v>
      </c>
      <c r="K56" s="57">
        <f t="shared" ca="1" si="16"/>
        <v>0</v>
      </c>
      <c r="L56" s="58">
        <f t="shared" ca="1" si="8"/>
        <v>0</v>
      </c>
      <c r="M56" s="59">
        <f t="shared" ca="1" si="9"/>
        <v>0</v>
      </c>
      <c r="N56" s="57">
        <f t="shared" ca="1" si="10"/>
        <v>0</v>
      </c>
      <c r="O56" s="261">
        <f t="shared" ca="1" si="11"/>
        <v>0</v>
      </c>
      <c r="P56" s="261">
        <f t="shared" ca="1" si="12"/>
        <v>0</v>
      </c>
      <c r="Q56" s="261">
        <f t="shared" ca="1" si="13"/>
        <v>0</v>
      </c>
    </row>
    <row r="57" spans="1:17" ht="19.5" thickBot="1">
      <c r="A57" s="56">
        <v>46</v>
      </c>
      <c r="B57" s="57">
        <f t="shared" ca="1" si="17"/>
        <v>0</v>
      </c>
      <c r="C57" s="58">
        <f ca="1">B56*$D$4</f>
        <v>0</v>
      </c>
      <c r="D57" s="59">
        <f t="shared" ca="1" si="5"/>
        <v>0</v>
      </c>
      <c r="E57" s="58">
        <f t="shared" ca="1" si="26"/>
        <v>0</v>
      </c>
      <c r="F57" s="59">
        <f t="shared" ca="1" si="25"/>
        <v>0</v>
      </c>
      <c r="G57" s="58">
        <f t="shared" ca="1" si="14"/>
        <v>0</v>
      </c>
      <c r="H57" s="56">
        <f t="shared" ca="1" si="15"/>
        <v>0</v>
      </c>
      <c r="J57" s="52">
        <f t="shared" si="18"/>
        <v>42</v>
      </c>
      <c r="K57" s="57">
        <f t="shared" ca="1" si="16"/>
        <v>0</v>
      </c>
      <c r="L57" s="58">
        <f t="shared" ca="1" si="8"/>
        <v>0</v>
      </c>
      <c r="M57" s="59">
        <f t="shared" ca="1" si="9"/>
        <v>0</v>
      </c>
      <c r="N57" s="57">
        <f t="shared" ca="1" si="10"/>
        <v>0</v>
      </c>
      <c r="O57" s="261">
        <f t="shared" ca="1" si="11"/>
        <v>0</v>
      </c>
      <c r="P57" s="261">
        <f t="shared" ca="1" si="12"/>
        <v>0</v>
      </c>
      <c r="Q57" s="261">
        <f t="shared" ca="1" si="13"/>
        <v>0</v>
      </c>
    </row>
    <row r="58" spans="1:17" ht="19.5" thickBot="1">
      <c r="A58" s="56">
        <v>47</v>
      </c>
      <c r="B58" s="57">
        <f t="shared" ca="1" si="17"/>
        <v>0</v>
      </c>
      <c r="C58" s="58">
        <f t="shared" ref="C58:C122" ca="1" si="27">IF(+$D$7=4,0,B57*$D$4)</f>
        <v>0</v>
      </c>
      <c r="D58" s="59">
        <f t="shared" ca="1" si="5"/>
        <v>0</v>
      </c>
      <c r="E58" s="58">
        <f t="shared" ca="1" si="26"/>
        <v>0</v>
      </c>
      <c r="F58" s="59">
        <f t="shared" ca="1" si="25"/>
        <v>0</v>
      </c>
      <c r="G58" s="58">
        <f t="shared" ca="1" si="14"/>
        <v>0</v>
      </c>
      <c r="H58" s="56">
        <f t="shared" ca="1" si="15"/>
        <v>0</v>
      </c>
      <c r="J58" s="52">
        <f t="shared" si="18"/>
        <v>43</v>
      </c>
      <c r="K58" s="57">
        <f t="shared" ca="1" si="16"/>
        <v>0</v>
      </c>
      <c r="L58" s="58">
        <f t="shared" ca="1" si="8"/>
        <v>0</v>
      </c>
      <c r="M58" s="59">
        <f t="shared" ca="1" si="9"/>
        <v>0</v>
      </c>
      <c r="N58" s="57">
        <f t="shared" ca="1" si="10"/>
        <v>0</v>
      </c>
      <c r="O58" s="261">
        <f t="shared" ca="1" si="11"/>
        <v>0</v>
      </c>
      <c r="P58" s="261">
        <f t="shared" ca="1" si="12"/>
        <v>0</v>
      </c>
      <c r="Q58" s="261">
        <f t="shared" ca="1" si="13"/>
        <v>0</v>
      </c>
    </row>
    <row r="59" spans="1:17" ht="19.5" thickBot="1">
      <c r="A59" s="56">
        <v>48</v>
      </c>
      <c r="B59" s="57">
        <f t="shared" ca="1" si="17"/>
        <v>0</v>
      </c>
      <c r="C59" s="58">
        <f t="shared" ca="1" si="27"/>
        <v>0</v>
      </c>
      <c r="D59" s="59">
        <f t="shared" ca="1" si="5"/>
        <v>0</v>
      </c>
      <c r="E59" s="58">
        <f t="shared" ca="1" si="26"/>
        <v>0</v>
      </c>
      <c r="F59" s="59">
        <f t="shared" ca="1" si="25"/>
        <v>0</v>
      </c>
      <c r="G59" s="58">
        <f t="shared" ca="1" si="14"/>
        <v>0</v>
      </c>
      <c r="H59" s="56">
        <f t="shared" ca="1" si="15"/>
        <v>0</v>
      </c>
      <c r="J59" s="52">
        <f t="shared" si="18"/>
        <v>44</v>
      </c>
      <c r="K59" s="57">
        <f t="shared" ca="1" si="16"/>
        <v>0</v>
      </c>
      <c r="L59" s="58">
        <f t="shared" ca="1" si="8"/>
        <v>0</v>
      </c>
      <c r="M59" s="59">
        <f t="shared" ca="1" si="9"/>
        <v>0</v>
      </c>
      <c r="N59" s="57">
        <f t="shared" ca="1" si="10"/>
        <v>0</v>
      </c>
      <c r="O59" s="261">
        <f t="shared" ca="1" si="11"/>
        <v>0</v>
      </c>
      <c r="P59" s="261">
        <f t="shared" ca="1" si="12"/>
        <v>0</v>
      </c>
      <c r="Q59" s="261">
        <f t="shared" ca="1" si="13"/>
        <v>0</v>
      </c>
    </row>
    <row r="60" spans="1:17" ht="19.5" thickBot="1">
      <c r="A60" s="56">
        <v>49</v>
      </c>
      <c r="B60" s="57">
        <f t="shared" ca="1" si="17"/>
        <v>0</v>
      </c>
      <c r="C60" s="58">
        <f ca="1">B59*$D$4</f>
        <v>0</v>
      </c>
      <c r="D60" s="59">
        <f t="shared" ca="1" si="5"/>
        <v>0</v>
      </c>
      <c r="E60" s="58">
        <f t="shared" ref="E60:E65" ca="1" si="28">IF(OR(C$6&gt;4,C60&lt;0.01),0,C$8-C60)</f>
        <v>0</v>
      </c>
      <c r="F60" s="59">
        <f t="shared" ca="1" si="25"/>
        <v>0</v>
      </c>
      <c r="G60" s="58">
        <f t="shared" ca="1" si="14"/>
        <v>0</v>
      </c>
      <c r="H60" s="56">
        <f t="shared" ca="1" si="15"/>
        <v>0</v>
      </c>
      <c r="J60" s="52">
        <f t="shared" si="18"/>
        <v>45</v>
      </c>
      <c r="K60" s="57">
        <f t="shared" ca="1" si="16"/>
        <v>0</v>
      </c>
      <c r="L60" s="58">
        <f t="shared" ca="1" si="8"/>
        <v>0</v>
      </c>
      <c r="M60" s="59">
        <f t="shared" ca="1" si="9"/>
        <v>0</v>
      </c>
      <c r="N60" s="57">
        <f t="shared" ca="1" si="10"/>
        <v>0</v>
      </c>
      <c r="O60" s="261">
        <f t="shared" ca="1" si="11"/>
        <v>0</v>
      </c>
      <c r="P60" s="261">
        <f t="shared" ca="1" si="12"/>
        <v>0</v>
      </c>
      <c r="Q60" s="261">
        <f t="shared" ca="1" si="13"/>
        <v>0</v>
      </c>
    </row>
    <row r="61" spans="1:17" ht="19.5" thickBot="1">
      <c r="A61" s="56">
        <v>50</v>
      </c>
      <c r="B61" s="57">
        <f t="shared" ca="1" si="17"/>
        <v>0</v>
      </c>
      <c r="C61" s="58">
        <f t="shared" ca="1" si="27"/>
        <v>0</v>
      </c>
      <c r="D61" s="59">
        <f t="shared" ca="1" si="5"/>
        <v>0</v>
      </c>
      <c r="E61" s="58">
        <f t="shared" ca="1" si="28"/>
        <v>0</v>
      </c>
      <c r="F61" s="59">
        <f t="shared" ca="1" si="25"/>
        <v>0</v>
      </c>
      <c r="G61" s="58">
        <f t="shared" ca="1" si="14"/>
        <v>0</v>
      </c>
      <c r="H61" s="56">
        <f t="shared" ca="1" si="15"/>
        <v>0</v>
      </c>
      <c r="J61" s="52">
        <f t="shared" si="18"/>
        <v>46</v>
      </c>
      <c r="K61" s="57">
        <f t="shared" ca="1" si="16"/>
        <v>0</v>
      </c>
      <c r="L61" s="58">
        <f t="shared" ca="1" si="8"/>
        <v>0</v>
      </c>
      <c r="M61" s="59">
        <f t="shared" ca="1" si="9"/>
        <v>0</v>
      </c>
      <c r="N61" s="57">
        <f t="shared" ca="1" si="10"/>
        <v>0</v>
      </c>
      <c r="O61" s="261">
        <f t="shared" ca="1" si="11"/>
        <v>0</v>
      </c>
      <c r="P61" s="261">
        <f t="shared" ca="1" si="12"/>
        <v>0</v>
      </c>
      <c r="Q61" s="261">
        <f t="shared" ca="1" si="13"/>
        <v>0</v>
      </c>
    </row>
    <row r="62" spans="1:17" ht="19.5" thickBot="1">
      <c r="A62" s="56">
        <v>51</v>
      </c>
      <c r="B62" s="57">
        <f t="shared" ca="1" si="17"/>
        <v>0</v>
      </c>
      <c r="C62" s="58">
        <f t="shared" ca="1" si="27"/>
        <v>0</v>
      </c>
      <c r="D62" s="59">
        <f t="shared" ca="1" si="5"/>
        <v>0</v>
      </c>
      <c r="E62" s="58">
        <f t="shared" ca="1" si="28"/>
        <v>0</v>
      </c>
      <c r="F62" s="59">
        <f t="shared" ca="1" si="25"/>
        <v>0</v>
      </c>
      <c r="G62" s="58">
        <f t="shared" ca="1" si="14"/>
        <v>0</v>
      </c>
      <c r="H62" s="56">
        <f t="shared" ca="1" si="15"/>
        <v>0</v>
      </c>
      <c r="J62" s="52">
        <f t="shared" si="18"/>
        <v>47</v>
      </c>
      <c r="K62" s="57">
        <f t="shared" ca="1" si="16"/>
        <v>0</v>
      </c>
      <c r="L62" s="58">
        <f t="shared" ca="1" si="8"/>
        <v>0</v>
      </c>
      <c r="M62" s="59">
        <f t="shared" ca="1" si="9"/>
        <v>0</v>
      </c>
      <c r="N62" s="57">
        <f t="shared" ca="1" si="10"/>
        <v>0</v>
      </c>
      <c r="O62" s="261">
        <f t="shared" ca="1" si="11"/>
        <v>0</v>
      </c>
      <c r="P62" s="261">
        <f t="shared" ca="1" si="12"/>
        <v>0</v>
      </c>
      <c r="Q62" s="261">
        <f t="shared" ca="1" si="13"/>
        <v>0</v>
      </c>
    </row>
    <row r="63" spans="1:17" ht="19.5" thickBot="1">
      <c r="A63" s="56">
        <v>52</v>
      </c>
      <c r="B63" s="57">
        <f t="shared" ca="1" si="17"/>
        <v>0</v>
      </c>
      <c r="C63" s="58">
        <f ca="1">B62*$D$4</f>
        <v>0</v>
      </c>
      <c r="D63" s="59">
        <f t="shared" ca="1" si="5"/>
        <v>0</v>
      </c>
      <c r="E63" s="58">
        <f t="shared" ca="1" si="28"/>
        <v>0</v>
      </c>
      <c r="F63" s="59">
        <f t="shared" ca="1" si="25"/>
        <v>0</v>
      </c>
      <c r="G63" s="58">
        <f t="shared" ca="1" si="14"/>
        <v>0</v>
      </c>
      <c r="H63" s="56">
        <f t="shared" ca="1" si="15"/>
        <v>0</v>
      </c>
      <c r="J63" s="52">
        <f t="shared" si="18"/>
        <v>48</v>
      </c>
      <c r="K63" s="57">
        <f t="shared" ca="1" si="16"/>
        <v>0</v>
      </c>
      <c r="L63" s="58">
        <f t="shared" ca="1" si="8"/>
        <v>0</v>
      </c>
      <c r="M63" s="59">
        <f t="shared" ca="1" si="9"/>
        <v>0</v>
      </c>
      <c r="N63" s="57">
        <f t="shared" ca="1" si="10"/>
        <v>0</v>
      </c>
      <c r="O63" s="261">
        <f t="shared" ca="1" si="11"/>
        <v>0</v>
      </c>
      <c r="P63" s="261">
        <f t="shared" ca="1" si="12"/>
        <v>0</v>
      </c>
      <c r="Q63" s="261">
        <f t="shared" ca="1" si="13"/>
        <v>0</v>
      </c>
    </row>
    <row r="64" spans="1:17" ht="19.5" thickBot="1">
      <c r="A64" s="56">
        <v>53</v>
      </c>
      <c r="B64" s="57">
        <f t="shared" ca="1" si="17"/>
        <v>0</v>
      </c>
      <c r="C64" s="58">
        <f t="shared" ca="1" si="27"/>
        <v>0</v>
      </c>
      <c r="D64" s="59">
        <f t="shared" ca="1" si="5"/>
        <v>0</v>
      </c>
      <c r="E64" s="58">
        <f t="shared" ca="1" si="28"/>
        <v>0</v>
      </c>
      <c r="F64" s="59">
        <f t="shared" ca="1" si="25"/>
        <v>0</v>
      </c>
      <c r="G64" s="58">
        <f t="shared" ca="1" si="14"/>
        <v>0</v>
      </c>
      <c r="H64" s="56">
        <f t="shared" ca="1" si="15"/>
        <v>0</v>
      </c>
      <c r="J64" s="52">
        <f t="shared" si="18"/>
        <v>49</v>
      </c>
      <c r="K64" s="57">
        <f t="shared" ca="1" si="16"/>
        <v>0</v>
      </c>
      <c r="L64" s="58">
        <f t="shared" ca="1" si="8"/>
        <v>0</v>
      </c>
      <c r="M64" s="59">
        <f t="shared" ca="1" si="9"/>
        <v>0</v>
      </c>
      <c r="N64" s="57">
        <f t="shared" ca="1" si="10"/>
        <v>0</v>
      </c>
      <c r="O64" s="261">
        <f t="shared" ca="1" si="11"/>
        <v>0</v>
      </c>
      <c r="P64" s="261">
        <f t="shared" ca="1" si="12"/>
        <v>0</v>
      </c>
      <c r="Q64" s="261">
        <f t="shared" ca="1" si="13"/>
        <v>0</v>
      </c>
    </row>
    <row r="65" spans="1:17" ht="19.5" thickBot="1">
      <c r="A65" s="56">
        <v>54</v>
      </c>
      <c r="B65" s="57">
        <f t="shared" ca="1" si="17"/>
        <v>0</v>
      </c>
      <c r="C65" s="58">
        <f t="shared" ca="1" si="27"/>
        <v>0</v>
      </c>
      <c r="D65" s="59">
        <f t="shared" ca="1" si="5"/>
        <v>0</v>
      </c>
      <c r="E65" s="58">
        <f t="shared" ca="1" si="28"/>
        <v>0</v>
      </c>
      <c r="F65" s="59">
        <f t="shared" ca="1" si="25"/>
        <v>0</v>
      </c>
      <c r="G65" s="58">
        <f t="shared" ca="1" si="14"/>
        <v>0</v>
      </c>
      <c r="H65" s="56">
        <f t="shared" ca="1" si="15"/>
        <v>0</v>
      </c>
      <c r="J65" s="52">
        <f t="shared" si="18"/>
        <v>50</v>
      </c>
      <c r="K65" s="57">
        <f t="shared" ca="1" si="16"/>
        <v>0</v>
      </c>
      <c r="L65" s="58">
        <f t="shared" ca="1" si="8"/>
        <v>0</v>
      </c>
      <c r="M65" s="59">
        <f t="shared" ca="1" si="9"/>
        <v>0</v>
      </c>
      <c r="N65" s="57">
        <f t="shared" ca="1" si="10"/>
        <v>0</v>
      </c>
      <c r="O65" s="261">
        <f t="shared" ca="1" si="11"/>
        <v>0</v>
      </c>
      <c r="P65" s="261">
        <f t="shared" ca="1" si="12"/>
        <v>0</v>
      </c>
      <c r="Q65" s="261">
        <f t="shared" ca="1" si="13"/>
        <v>0</v>
      </c>
    </row>
    <row r="66" spans="1:17" ht="19.5" thickBot="1">
      <c r="A66" s="56">
        <v>55</v>
      </c>
      <c r="B66" s="57">
        <f t="shared" ca="1" si="17"/>
        <v>0</v>
      </c>
      <c r="C66" s="58">
        <f ca="1">B65*$D$4</f>
        <v>0</v>
      </c>
      <c r="D66" s="59">
        <f t="shared" ca="1" si="5"/>
        <v>0</v>
      </c>
      <c r="E66" s="58">
        <f t="shared" ref="E66:E71" ca="1" si="29">IF(OR(C$6&gt;4.5,C66&lt;0.01),0,C$8-C66)</f>
        <v>0</v>
      </c>
      <c r="F66" s="59">
        <f t="shared" ca="1" si="25"/>
        <v>0</v>
      </c>
      <c r="G66" s="58">
        <f t="shared" ca="1" si="14"/>
        <v>0</v>
      </c>
      <c r="H66" s="56">
        <f t="shared" ca="1" si="15"/>
        <v>0</v>
      </c>
      <c r="J66" s="52">
        <f t="shared" si="18"/>
        <v>51</v>
      </c>
      <c r="K66" s="57">
        <f t="shared" ca="1" si="16"/>
        <v>0</v>
      </c>
      <c r="L66" s="58">
        <f t="shared" ca="1" si="8"/>
        <v>0</v>
      </c>
      <c r="M66" s="59">
        <f t="shared" ca="1" si="9"/>
        <v>0</v>
      </c>
      <c r="N66" s="57">
        <f t="shared" ca="1" si="10"/>
        <v>0</v>
      </c>
      <c r="O66" s="261">
        <f t="shared" ca="1" si="11"/>
        <v>0</v>
      </c>
      <c r="P66" s="261">
        <f t="shared" ca="1" si="12"/>
        <v>0</v>
      </c>
      <c r="Q66" s="261">
        <f t="shared" ca="1" si="13"/>
        <v>0</v>
      </c>
    </row>
    <row r="67" spans="1:17" ht="19.5" thickBot="1">
      <c r="A67" s="56">
        <v>56</v>
      </c>
      <c r="B67" s="57">
        <f t="shared" ca="1" si="17"/>
        <v>0</v>
      </c>
      <c r="C67" s="58">
        <f t="shared" ca="1" si="27"/>
        <v>0</v>
      </c>
      <c r="D67" s="59">
        <f t="shared" ca="1" si="5"/>
        <v>0</v>
      </c>
      <c r="E67" s="58">
        <f t="shared" ca="1" si="29"/>
        <v>0</v>
      </c>
      <c r="F67" s="59">
        <f t="shared" ca="1" si="25"/>
        <v>0</v>
      </c>
      <c r="G67" s="58">
        <f t="shared" ca="1" si="14"/>
        <v>0</v>
      </c>
      <c r="H67" s="56">
        <f t="shared" ca="1" si="15"/>
        <v>0</v>
      </c>
      <c r="J67" s="52">
        <f t="shared" si="18"/>
        <v>52</v>
      </c>
      <c r="K67" s="57">
        <f t="shared" ca="1" si="16"/>
        <v>0</v>
      </c>
      <c r="L67" s="58">
        <f t="shared" ca="1" si="8"/>
        <v>0</v>
      </c>
      <c r="M67" s="59">
        <f t="shared" ca="1" si="9"/>
        <v>0</v>
      </c>
      <c r="N67" s="57">
        <f t="shared" ca="1" si="10"/>
        <v>0</v>
      </c>
      <c r="O67" s="261">
        <f t="shared" ca="1" si="11"/>
        <v>0</v>
      </c>
      <c r="P67" s="261">
        <f t="shared" ca="1" si="12"/>
        <v>0</v>
      </c>
      <c r="Q67" s="261">
        <f t="shared" ca="1" si="13"/>
        <v>0</v>
      </c>
    </row>
    <row r="68" spans="1:17" ht="19.5" thickBot="1">
      <c r="A68" s="56">
        <v>57</v>
      </c>
      <c r="B68" s="57">
        <f t="shared" ca="1" si="17"/>
        <v>0</v>
      </c>
      <c r="C68" s="58">
        <f t="shared" ca="1" si="27"/>
        <v>0</v>
      </c>
      <c r="D68" s="59">
        <f t="shared" ca="1" si="5"/>
        <v>0</v>
      </c>
      <c r="E68" s="58">
        <f t="shared" ca="1" si="29"/>
        <v>0</v>
      </c>
      <c r="F68" s="59">
        <f t="shared" ca="1" si="25"/>
        <v>0</v>
      </c>
      <c r="G68" s="58">
        <f t="shared" ca="1" si="14"/>
        <v>0</v>
      </c>
      <c r="H68" s="56">
        <f t="shared" ca="1" si="15"/>
        <v>0</v>
      </c>
      <c r="J68" s="52">
        <f t="shared" si="18"/>
        <v>53</v>
      </c>
      <c r="K68" s="57">
        <f t="shared" ca="1" si="16"/>
        <v>0</v>
      </c>
      <c r="L68" s="58">
        <f t="shared" ca="1" si="8"/>
        <v>0</v>
      </c>
      <c r="M68" s="59">
        <f t="shared" ca="1" si="9"/>
        <v>0</v>
      </c>
      <c r="N68" s="57">
        <f t="shared" ca="1" si="10"/>
        <v>0</v>
      </c>
      <c r="O68" s="261">
        <f t="shared" ca="1" si="11"/>
        <v>0</v>
      </c>
      <c r="P68" s="261">
        <f t="shared" ca="1" si="12"/>
        <v>0</v>
      </c>
      <c r="Q68" s="261">
        <f t="shared" ca="1" si="13"/>
        <v>0</v>
      </c>
    </row>
    <row r="69" spans="1:17" ht="19.5" thickBot="1">
      <c r="A69" s="56">
        <v>58</v>
      </c>
      <c r="B69" s="57">
        <f t="shared" ca="1" si="17"/>
        <v>0</v>
      </c>
      <c r="C69" s="58">
        <f ca="1">B68*$D$4</f>
        <v>0</v>
      </c>
      <c r="D69" s="59">
        <f t="shared" ca="1" si="5"/>
        <v>0</v>
      </c>
      <c r="E69" s="58">
        <f t="shared" ca="1" si="29"/>
        <v>0</v>
      </c>
      <c r="F69" s="59">
        <f t="shared" ca="1" si="25"/>
        <v>0</v>
      </c>
      <c r="G69" s="58">
        <f t="shared" ca="1" si="14"/>
        <v>0</v>
      </c>
      <c r="H69" s="56">
        <f t="shared" ca="1" si="15"/>
        <v>0</v>
      </c>
      <c r="J69" s="52">
        <f t="shared" si="18"/>
        <v>54</v>
      </c>
      <c r="K69" s="57">
        <f t="shared" ca="1" si="16"/>
        <v>0</v>
      </c>
      <c r="L69" s="58">
        <f t="shared" ca="1" si="8"/>
        <v>0</v>
      </c>
      <c r="M69" s="59">
        <f t="shared" ca="1" si="9"/>
        <v>0</v>
      </c>
      <c r="N69" s="57">
        <f t="shared" ca="1" si="10"/>
        <v>0</v>
      </c>
      <c r="O69" s="261">
        <f t="shared" ca="1" si="11"/>
        <v>0</v>
      </c>
      <c r="P69" s="261">
        <f t="shared" ca="1" si="12"/>
        <v>0</v>
      </c>
      <c r="Q69" s="261">
        <f t="shared" ca="1" si="13"/>
        <v>0</v>
      </c>
    </row>
    <row r="70" spans="1:17" ht="19.5" thickBot="1">
      <c r="A70" s="56">
        <v>59</v>
      </c>
      <c r="B70" s="57">
        <f t="shared" ca="1" si="17"/>
        <v>0</v>
      </c>
      <c r="C70" s="58">
        <f t="shared" ca="1" si="27"/>
        <v>0</v>
      </c>
      <c r="D70" s="59">
        <f t="shared" ca="1" si="5"/>
        <v>0</v>
      </c>
      <c r="E70" s="58">
        <f t="shared" ca="1" si="29"/>
        <v>0</v>
      </c>
      <c r="F70" s="59">
        <f t="shared" ca="1" si="25"/>
        <v>0</v>
      </c>
      <c r="G70" s="58">
        <f t="shared" ca="1" si="14"/>
        <v>0</v>
      </c>
      <c r="H70" s="56">
        <f t="shared" ca="1" si="15"/>
        <v>0</v>
      </c>
      <c r="J70" s="52">
        <f t="shared" si="18"/>
        <v>55</v>
      </c>
      <c r="K70" s="57">
        <f t="shared" ca="1" si="16"/>
        <v>0</v>
      </c>
      <c r="L70" s="58">
        <f t="shared" ca="1" si="8"/>
        <v>0</v>
      </c>
      <c r="M70" s="59">
        <f t="shared" ca="1" si="9"/>
        <v>0</v>
      </c>
      <c r="N70" s="57">
        <f t="shared" ca="1" si="10"/>
        <v>0</v>
      </c>
      <c r="O70" s="261">
        <f t="shared" ca="1" si="11"/>
        <v>0</v>
      </c>
      <c r="P70" s="261">
        <f t="shared" ca="1" si="12"/>
        <v>0</v>
      </c>
      <c r="Q70" s="261">
        <f t="shared" ca="1" si="13"/>
        <v>0</v>
      </c>
    </row>
    <row r="71" spans="1:17" ht="19.5" thickBot="1">
      <c r="A71" s="56">
        <v>60</v>
      </c>
      <c r="B71" s="57">
        <f t="shared" ca="1" si="17"/>
        <v>0</v>
      </c>
      <c r="C71" s="58">
        <f t="shared" ca="1" si="27"/>
        <v>0</v>
      </c>
      <c r="D71" s="59">
        <f t="shared" ca="1" si="5"/>
        <v>0</v>
      </c>
      <c r="E71" s="58">
        <f t="shared" ca="1" si="29"/>
        <v>0</v>
      </c>
      <c r="F71" s="59">
        <f t="shared" ca="1" si="25"/>
        <v>0</v>
      </c>
      <c r="G71" s="58">
        <f t="shared" ca="1" si="14"/>
        <v>0</v>
      </c>
      <c r="H71" s="56">
        <f t="shared" ca="1" si="15"/>
        <v>0</v>
      </c>
      <c r="J71" s="52">
        <f t="shared" si="18"/>
        <v>56</v>
      </c>
      <c r="K71" s="57">
        <f t="shared" ca="1" si="16"/>
        <v>0</v>
      </c>
      <c r="L71" s="58">
        <f t="shared" ca="1" si="8"/>
        <v>0</v>
      </c>
      <c r="M71" s="59">
        <f t="shared" ca="1" si="9"/>
        <v>0</v>
      </c>
      <c r="N71" s="57">
        <f t="shared" ca="1" si="10"/>
        <v>0</v>
      </c>
      <c r="O71" s="261">
        <f t="shared" ca="1" si="11"/>
        <v>0</v>
      </c>
      <c r="P71" s="261">
        <f t="shared" ca="1" si="12"/>
        <v>0</v>
      </c>
      <c r="Q71" s="261">
        <f t="shared" ca="1" si="13"/>
        <v>0</v>
      </c>
    </row>
    <row r="72" spans="1:17" ht="19.5" thickBot="1">
      <c r="A72" s="56">
        <v>61</v>
      </c>
      <c r="B72" s="57">
        <f t="shared" ca="1" si="17"/>
        <v>0</v>
      </c>
      <c r="C72" s="58">
        <f ca="1">B71*$D$4</f>
        <v>0</v>
      </c>
      <c r="D72" s="59">
        <f t="shared" ca="1" si="5"/>
        <v>0</v>
      </c>
      <c r="E72" s="58">
        <f t="shared" ref="E72:E77" ca="1" si="30">IF(OR(C$6&gt;5,C72&lt;0.01),0,C$8-C72)</f>
        <v>0</v>
      </c>
      <c r="F72" s="59">
        <f t="shared" ca="1" si="25"/>
        <v>0</v>
      </c>
      <c r="G72" s="58">
        <f t="shared" ca="1" si="14"/>
        <v>0</v>
      </c>
      <c r="H72" s="56">
        <f t="shared" ca="1" si="15"/>
        <v>0</v>
      </c>
      <c r="J72" s="52">
        <f t="shared" si="18"/>
        <v>57</v>
      </c>
      <c r="K72" s="57">
        <f t="shared" ca="1" si="16"/>
        <v>0</v>
      </c>
      <c r="L72" s="58">
        <f t="shared" ca="1" si="8"/>
        <v>0</v>
      </c>
      <c r="M72" s="59">
        <f t="shared" ca="1" si="9"/>
        <v>0</v>
      </c>
      <c r="N72" s="57">
        <f t="shared" ca="1" si="10"/>
        <v>0</v>
      </c>
      <c r="O72" s="261">
        <f t="shared" ca="1" si="11"/>
        <v>0</v>
      </c>
      <c r="P72" s="261">
        <f t="shared" ca="1" si="12"/>
        <v>0</v>
      </c>
      <c r="Q72" s="261">
        <f t="shared" ca="1" si="13"/>
        <v>0</v>
      </c>
    </row>
    <row r="73" spans="1:17" ht="19.5" thickBot="1">
      <c r="A73" s="56">
        <v>62</v>
      </c>
      <c r="B73" s="57">
        <f t="shared" ca="1" si="17"/>
        <v>0</v>
      </c>
      <c r="C73" s="58">
        <f t="shared" ca="1" si="27"/>
        <v>0</v>
      </c>
      <c r="D73" s="59">
        <f t="shared" ca="1" si="5"/>
        <v>0</v>
      </c>
      <c r="E73" s="58">
        <f t="shared" ca="1" si="30"/>
        <v>0</v>
      </c>
      <c r="F73" s="59">
        <f t="shared" ca="1" si="25"/>
        <v>0</v>
      </c>
      <c r="G73" s="58">
        <f t="shared" ca="1" si="14"/>
        <v>0</v>
      </c>
      <c r="H73" s="56">
        <f t="shared" ca="1" si="15"/>
        <v>0</v>
      </c>
      <c r="J73" s="52">
        <f t="shared" si="18"/>
        <v>58</v>
      </c>
      <c r="K73" s="57">
        <f t="shared" ca="1" si="16"/>
        <v>0</v>
      </c>
      <c r="L73" s="58">
        <f t="shared" ca="1" si="8"/>
        <v>0</v>
      </c>
      <c r="M73" s="59">
        <f t="shared" ca="1" si="9"/>
        <v>0</v>
      </c>
      <c r="N73" s="57">
        <f t="shared" ca="1" si="10"/>
        <v>0</v>
      </c>
      <c r="O73" s="261">
        <f t="shared" ca="1" si="11"/>
        <v>0</v>
      </c>
      <c r="P73" s="261">
        <f t="shared" ca="1" si="12"/>
        <v>0</v>
      </c>
      <c r="Q73" s="261">
        <f t="shared" ca="1" si="13"/>
        <v>0</v>
      </c>
    </row>
    <row r="74" spans="1:17" ht="19.5" thickBot="1">
      <c r="A74" s="56">
        <v>63</v>
      </c>
      <c r="B74" s="57">
        <f t="shared" ca="1" si="17"/>
        <v>0</v>
      </c>
      <c r="C74" s="58">
        <f t="shared" ca="1" si="27"/>
        <v>0</v>
      </c>
      <c r="D74" s="59">
        <f t="shared" ca="1" si="5"/>
        <v>0</v>
      </c>
      <c r="E74" s="58">
        <f t="shared" ca="1" si="30"/>
        <v>0</v>
      </c>
      <c r="F74" s="59">
        <f t="shared" ca="1" si="25"/>
        <v>0</v>
      </c>
      <c r="G74" s="58">
        <f t="shared" ca="1" si="14"/>
        <v>0</v>
      </c>
      <c r="H74" s="56">
        <f t="shared" ca="1" si="15"/>
        <v>0</v>
      </c>
      <c r="J74" s="52">
        <f t="shared" si="18"/>
        <v>59</v>
      </c>
      <c r="K74" s="57">
        <f t="shared" ca="1" si="16"/>
        <v>0</v>
      </c>
      <c r="L74" s="58">
        <f t="shared" ca="1" si="8"/>
        <v>0</v>
      </c>
      <c r="M74" s="59">
        <f t="shared" ca="1" si="9"/>
        <v>0</v>
      </c>
      <c r="N74" s="57">
        <f t="shared" ca="1" si="10"/>
        <v>0</v>
      </c>
      <c r="O74" s="261">
        <f t="shared" ca="1" si="11"/>
        <v>0</v>
      </c>
      <c r="P74" s="261">
        <f t="shared" ca="1" si="12"/>
        <v>0</v>
      </c>
      <c r="Q74" s="261">
        <f t="shared" ca="1" si="13"/>
        <v>0</v>
      </c>
    </row>
    <row r="75" spans="1:17" ht="19.5" thickBot="1">
      <c r="A75" s="56">
        <v>64</v>
      </c>
      <c r="B75" s="57">
        <f t="shared" ca="1" si="17"/>
        <v>0</v>
      </c>
      <c r="C75" s="58">
        <f ca="1">B74*$D$4</f>
        <v>0</v>
      </c>
      <c r="D75" s="59">
        <f t="shared" ca="1" si="5"/>
        <v>0</v>
      </c>
      <c r="E75" s="58">
        <f t="shared" ca="1" si="30"/>
        <v>0</v>
      </c>
      <c r="F75" s="59">
        <f t="shared" ca="1" si="25"/>
        <v>0</v>
      </c>
      <c r="G75" s="58">
        <f t="shared" ca="1" si="14"/>
        <v>0</v>
      </c>
      <c r="H75" s="56">
        <f t="shared" ca="1" si="15"/>
        <v>0</v>
      </c>
      <c r="J75" s="52">
        <f t="shared" si="18"/>
        <v>60</v>
      </c>
      <c r="K75" s="57">
        <f t="shared" ca="1" si="16"/>
        <v>0</v>
      </c>
      <c r="L75" s="58">
        <f t="shared" ca="1" si="8"/>
        <v>0</v>
      </c>
      <c r="M75" s="59">
        <f t="shared" ca="1" si="9"/>
        <v>0</v>
      </c>
      <c r="N75" s="57">
        <f t="shared" ca="1" si="10"/>
        <v>0</v>
      </c>
      <c r="O75" s="261">
        <f t="shared" ca="1" si="11"/>
        <v>0</v>
      </c>
      <c r="P75" s="261">
        <f t="shared" ca="1" si="12"/>
        <v>0</v>
      </c>
      <c r="Q75" s="261">
        <f t="shared" ca="1" si="13"/>
        <v>0</v>
      </c>
    </row>
    <row r="76" spans="1:17" ht="19.5" thickBot="1">
      <c r="A76" s="56">
        <v>65</v>
      </c>
      <c r="B76" s="57">
        <f t="shared" ca="1" si="17"/>
        <v>0</v>
      </c>
      <c r="C76" s="58">
        <f t="shared" ca="1" si="27"/>
        <v>0</v>
      </c>
      <c r="D76" s="59">
        <f t="shared" ref="D76:D139" ca="1" si="31">IF(B76=0,0,D75+C76)</f>
        <v>0</v>
      </c>
      <c r="E76" s="58">
        <f t="shared" ca="1" si="30"/>
        <v>0</v>
      </c>
      <c r="F76" s="59">
        <f t="shared" ca="1" si="25"/>
        <v>0</v>
      </c>
      <c r="G76" s="58">
        <f t="shared" ca="1" si="14"/>
        <v>0</v>
      </c>
      <c r="H76" s="56">
        <f t="shared" ca="1" si="15"/>
        <v>0</v>
      </c>
      <c r="J76" s="52">
        <f t="shared" si="18"/>
        <v>61</v>
      </c>
      <c r="K76" s="57">
        <f t="shared" ca="1" si="16"/>
        <v>0</v>
      </c>
      <c r="L76" s="58">
        <f t="shared" ref="L76:L139" ca="1" si="32">VLOOKUP($J76,$A$11:$H$191,3,0)</f>
        <v>0</v>
      </c>
      <c r="M76" s="59">
        <f t="shared" ref="M76:M139" ca="1" si="33">VLOOKUP($J76,$A$11:$H$191,4,0)</f>
        <v>0</v>
      </c>
      <c r="N76" s="57">
        <f t="shared" ref="N76:N139" ca="1" si="34">VLOOKUP($J76,$A$11:$H$191,5,0)</f>
        <v>0</v>
      </c>
      <c r="O76" s="261">
        <f t="shared" ref="O76:O139" ca="1" si="35">VLOOKUP($J76,$A$11:$H$191,6,0)</f>
        <v>0</v>
      </c>
      <c r="P76" s="261">
        <f t="shared" ref="P76:P139" ca="1" si="36">VLOOKUP($J76,$A$11:$H$191,7,0)</f>
        <v>0</v>
      </c>
      <c r="Q76" s="261">
        <f t="shared" ref="Q76:Q139" ca="1" si="37">VLOOKUP($J76,$A$11:$H$191,8,0)</f>
        <v>0</v>
      </c>
    </row>
    <row r="77" spans="1:17" ht="19.5" thickBot="1">
      <c r="A77" s="56">
        <v>66</v>
      </c>
      <c r="B77" s="57">
        <f t="shared" ca="1" si="17"/>
        <v>0</v>
      </c>
      <c r="C77" s="58">
        <f t="shared" ca="1" si="27"/>
        <v>0</v>
      </c>
      <c r="D77" s="59">
        <f t="shared" ca="1" si="31"/>
        <v>0</v>
      </c>
      <c r="E77" s="58">
        <f t="shared" ca="1" si="30"/>
        <v>0</v>
      </c>
      <c r="F77" s="59">
        <f t="shared" ca="1" si="25"/>
        <v>0</v>
      </c>
      <c r="G77" s="58">
        <f t="shared" ref="G77:G140" ca="1" si="38">C$8*H77</f>
        <v>0</v>
      </c>
      <c r="H77" s="56">
        <f t="shared" ref="H77:H140" ca="1" si="39">IF(E77=0,0,A77-D$6)</f>
        <v>0</v>
      </c>
      <c r="J77" s="52">
        <f t="shared" si="18"/>
        <v>62</v>
      </c>
      <c r="K77" s="57">
        <f t="shared" ref="K77:K140" ca="1" si="40">VLOOKUP(J77,$A$11:$H$191,2,0)</f>
        <v>0</v>
      </c>
      <c r="L77" s="58">
        <f t="shared" ca="1" si="32"/>
        <v>0</v>
      </c>
      <c r="M77" s="59">
        <f t="shared" ca="1" si="33"/>
        <v>0</v>
      </c>
      <c r="N77" s="57">
        <f t="shared" ca="1" si="34"/>
        <v>0</v>
      </c>
      <c r="O77" s="261">
        <f t="shared" ca="1" si="35"/>
        <v>0</v>
      </c>
      <c r="P77" s="261">
        <f t="shared" ca="1" si="36"/>
        <v>0</v>
      </c>
      <c r="Q77" s="261">
        <f t="shared" ca="1" si="37"/>
        <v>0</v>
      </c>
    </row>
    <row r="78" spans="1:17" ht="19.5" thickBot="1">
      <c r="A78" s="56">
        <v>67</v>
      </c>
      <c r="B78" s="57">
        <f t="shared" ref="B78:B141" ca="1" si="41">IF(B77&lt;1,0,B77-E78)</f>
        <v>0</v>
      </c>
      <c r="C78" s="58">
        <f ca="1">B77*$D$4</f>
        <v>0</v>
      </c>
      <c r="D78" s="59">
        <f t="shared" ca="1" si="31"/>
        <v>0</v>
      </c>
      <c r="E78" s="58">
        <f t="shared" ref="E78:E83" ca="1" si="42">IF(OR(C$6&gt;5.5,C78&lt;0.01),0,C$8-C78)</f>
        <v>0</v>
      </c>
      <c r="F78" s="59">
        <f t="shared" ca="1" si="25"/>
        <v>0</v>
      </c>
      <c r="G78" s="58">
        <f t="shared" ca="1" si="38"/>
        <v>0</v>
      </c>
      <c r="H78" s="56">
        <f t="shared" ca="1" si="39"/>
        <v>0</v>
      </c>
      <c r="J78" s="52">
        <f t="shared" si="18"/>
        <v>63</v>
      </c>
      <c r="K78" s="57">
        <f t="shared" ca="1" si="40"/>
        <v>0</v>
      </c>
      <c r="L78" s="58">
        <f t="shared" ca="1" si="32"/>
        <v>0</v>
      </c>
      <c r="M78" s="59">
        <f t="shared" ca="1" si="33"/>
        <v>0</v>
      </c>
      <c r="N78" s="57">
        <f t="shared" ca="1" si="34"/>
        <v>0</v>
      </c>
      <c r="O78" s="261">
        <f t="shared" ca="1" si="35"/>
        <v>0</v>
      </c>
      <c r="P78" s="261">
        <f t="shared" ca="1" si="36"/>
        <v>0</v>
      </c>
      <c r="Q78" s="261">
        <f t="shared" ca="1" si="37"/>
        <v>0</v>
      </c>
    </row>
    <row r="79" spans="1:17" ht="19.5" thickBot="1">
      <c r="A79" s="56">
        <v>68</v>
      </c>
      <c r="B79" s="57">
        <f t="shared" ca="1" si="41"/>
        <v>0</v>
      </c>
      <c r="C79" s="58">
        <f t="shared" ca="1" si="27"/>
        <v>0</v>
      </c>
      <c r="D79" s="59">
        <f t="shared" ca="1" si="31"/>
        <v>0</v>
      </c>
      <c r="E79" s="58">
        <f t="shared" ca="1" si="42"/>
        <v>0</v>
      </c>
      <c r="F79" s="59">
        <f t="shared" ca="1" si="25"/>
        <v>0</v>
      </c>
      <c r="G79" s="58">
        <f t="shared" ca="1" si="38"/>
        <v>0</v>
      </c>
      <c r="H79" s="56">
        <f t="shared" ca="1" si="39"/>
        <v>0</v>
      </c>
      <c r="J79" s="52">
        <f t="shared" si="18"/>
        <v>64</v>
      </c>
      <c r="K79" s="57">
        <f t="shared" ca="1" si="40"/>
        <v>0</v>
      </c>
      <c r="L79" s="58">
        <f t="shared" ca="1" si="32"/>
        <v>0</v>
      </c>
      <c r="M79" s="59">
        <f t="shared" ca="1" si="33"/>
        <v>0</v>
      </c>
      <c r="N79" s="57">
        <f t="shared" ca="1" si="34"/>
        <v>0</v>
      </c>
      <c r="O79" s="261">
        <f t="shared" ca="1" si="35"/>
        <v>0</v>
      </c>
      <c r="P79" s="261">
        <f t="shared" ca="1" si="36"/>
        <v>0</v>
      </c>
      <c r="Q79" s="261">
        <f t="shared" ca="1" si="37"/>
        <v>0</v>
      </c>
    </row>
    <row r="80" spans="1:17" ht="19.5" thickBot="1">
      <c r="A80" s="56">
        <v>69</v>
      </c>
      <c r="B80" s="57">
        <f t="shared" ca="1" si="41"/>
        <v>0</v>
      </c>
      <c r="C80" s="58">
        <f t="shared" ca="1" si="27"/>
        <v>0</v>
      </c>
      <c r="D80" s="59">
        <f t="shared" ca="1" si="31"/>
        <v>0</v>
      </c>
      <c r="E80" s="58">
        <f t="shared" ca="1" si="42"/>
        <v>0</v>
      </c>
      <c r="F80" s="59">
        <f t="shared" ca="1" si="25"/>
        <v>0</v>
      </c>
      <c r="G80" s="58">
        <f t="shared" ca="1" si="38"/>
        <v>0</v>
      </c>
      <c r="H80" s="56">
        <f t="shared" ca="1" si="39"/>
        <v>0</v>
      </c>
      <c r="J80" s="52">
        <f t="shared" ref="J80:J143" si="43">IF($A80=$F$4,1,IF($A80&gt;$F$4,$J79+1,0))</f>
        <v>65</v>
      </c>
      <c r="K80" s="57">
        <f t="shared" ca="1" si="40"/>
        <v>0</v>
      </c>
      <c r="L80" s="58">
        <f t="shared" ca="1" si="32"/>
        <v>0</v>
      </c>
      <c r="M80" s="59">
        <f t="shared" ca="1" si="33"/>
        <v>0</v>
      </c>
      <c r="N80" s="57">
        <f t="shared" ca="1" si="34"/>
        <v>0</v>
      </c>
      <c r="O80" s="261">
        <f t="shared" ca="1" si="35"/>
        <v>0</v>
      </c>
      <c r="P80" s="261">
        <f t="shared" ca="1" si="36"/>
        <v>0</v>
      </c>
      <c r="Q80" s="261">
        <f t="shared" ca="1" si="37"/>
        <v>0</v>
      </c>
    </row>
    <row r="81" spans="1:17" ht="19.5" thickBot="1">
      <c r="A81" s="56">
        <v>70</v>
      </c>
      <c r="B81" s="57">
        <f t="shared" ca="1" si="41"/>
        <v>0</v>
      </c>
      <c r="C81" s="58">
        <f ca="1">B80*$D$4</f>
        <v>0</v>
      </c>
      <c r="D81" s="59">
        <f t="shared" ca="1" si="31"/>
        <v>0</v>
      </c>
      <c r="E81" s="58">
        <f t="shared" ca="1" si="42"/>
        <v>0</v>
      </c>
      <c r="F81" s="59">
        <f t="shared" ca="1" si="25"/>
        <v>0</v>
      </c>
      <c r="G81" s="58">
        <f t="shared" ca="1" si="38"/>
        <v>0</v>
      </c>
      <c r="H81" s="56">
        <f t="shared" ca="1" si="39"/>
        <v>0</v>
      </c>
      <c r="J81" s="52">
        <f t="shared" si="43"/>
        <v>66</v>
      </c>
      <c r="K81" s="57">
        <f t="shared" ca="1" si="40"/>
        <v>0</v>
      </c>
      <c r="L81" s="58">
        <f t="shared" ca="1" si="32"/>
        <v>0</v>
      </c>
      <c r="M81" s="59">
        <f t="shared" ca="1" si="33"/>
        <v>0</v>
      </c>
      <c r="N81" s="57">
        <f t="shared" ca="1" si="34"/>
        <v>0</v>
      </c>
      <c r="O81" s="261">
        <f t="shared" ca="1" si="35"/>
        <v>0</v>
      </c>
      <c r="P81" s="261">
        <f t="shared" ca="1" si="36"/>
        <v>0</v>
      </c>
      <c r="Q81" s="261">
        <f t="shared" ca="1" si="37"/>
        <v>0</v>
      </c>
    </row>
    <row r="82" spans="1:17" ht="19.5" thickBot="1">
      <c r="A82" s="56">
        <v>71</v>
      </c>
      <c r="B82" s="57">
        <f t="shared" ca="1" si="41"/>
        <v>0</v>
      </c>
      <c r="C82" s="58">
        <f t="shared" ca="1" si="27"/>
        <v>0</v>
      </c>
      <c r="D82" s="59">
        <f t="shared" ca="1" si="31"/>
        <v>0</v>
      </c>
      <c r="E82" s="58">
        <f t="shared" ca="1" si="42"/>
        <v>0</v>
      </c>
      <c r="F82" s="59">
        <f t="shared" ca="1" si="25"/>
        <v>0</v>
      </c>
      <c r="G82" s="58">
        <f t="shared" ca="1" si="38"/>
        <v>0</v>
      </c>
      <c r="H82" s="56">
        <f t="shared" ca="1" si="39"/>
        <v>0</v>
      </c>
      <c r="J82" s="52">
        <f t="shared" si="43"/>
        <v>67</v>
      </c>
      <c r="K82" s="57">
        <f t="shared" ca="1" si="40"/>
        <v>0</v>
      </c>
      <c r="L82" s="58">
        <f t="shared" ca="1" si="32"/>
        <v>0</v>
      </c>
      <c r="M82" s="59">
        <f t="shared" ca="1" si="33"/>
        <v>0</v>
      </c>
      <c r="N82" s="57">
        <f t="shared" ca="1" si="34"/>
        <v>0</v>
      </c>
      <c r="O82" s="261">
        <f t="shared" ca="1" si="35"/>
        <v>0</v>
      </c>
      <c r="P82" s="261">
        <f t="shared" ca="1" si="36"/>
        <v>0</v>
      </c>
      <c r="Q82" s="261">
        <f t="shared" ca="1" si="37"/>
        <v>0</v>
      </c>
    </row>
    <row r="83" spans="1:17" ht="19.5" thickBot="1">
      <c r="A83" s="56">
        <v>72</v>
      </c>
      <c r="B83" s="57">
        <f t="shared" ca="1" si="41"/>
        <v>0</v>
      </c>
      <c r="C83" s="58">
        <f t="shared" ca="1" si="27"/>
        <v>0</v>
      </c>
      <c r="D83" s="59">
        <f t="shared" ca="1" si="31"/>
        <v>0</v>
      </c>
      <c r="E83" s="58">
        <f t="shared" ca="1" si="42"/>
        <v>0</v>
      </c>
      <c r="F83" s="59">
        <f t="shared" ca="1" si="25"/>
        <v>0</v>
      </c>
      <c r="G83" s="58">
        <f t="shared" ca="1" si="38"/>
        <v>0</v>
      </c>
      <c r="H83" s="56">
        <f t="shared" ca="1" si="39"/>
        <v>0</v>
      </c>
      <c r="J83" s="52">
        <f t="shared" si="43"/>
        <v>68</v>
      </c>
      <c r="K83" s="57">
        <f t="shared" ca="1" si="40"/>
        <v>0</v>
      </c>
      <c r="L83" s="58">
        <f t="shared" ca="1" si="32"/>
        <v>0</v>
      </c>
      <c r="M83" s="59">
        <f t="shared" ca="1" si="33"/>
        <v>0</v>
      </c>
      <c r="N83" s="57">
        <f t="shared" ca="1" si="34"/>
        <v>0</v>
      </c>
      <c r="O83" s="261">
        <f t="shared" ca="1" si="35"/>
        <v>0</v>
      </c>
      <c r="P83" s="261">
        <f t="shared" ca="1" si="36"/>
        <v>0</v>
      </c>
      <c r="Q83" s="261">
        <f t="shared" ca="1" si="37"/>
        <v>0</v>
      </c>
    </row>
    <row r="84" spans="1:17" ht="19.5" thickBot="1">
      <c r="A84" s="56">
        <v>73</v>
      </c>
      <c r="B84" s="57">
        <f t="shared" ca="1" si="41"/>
        <v>0</v>
      </c>
      <c r="C84" s="58">
        <f ca="1">B83*$D$4</f>
        <v>0</v>
      </c>
      <c r="D84" s="59">
        <f t="shared" ca="1" si="31"/>
        <v>0</v>
      </c>
      <c r="E84" s="58">
        <f t="shared" ref="E84:E89" ca="1" si="44">IF(OR(C$6&gt;6,C84&lt;0.01),0,C$8-C84)</f>
        <v>0</v>
      </c>
      <c r="F84" s="59">
        <f t="shared" ca="1" si="25"/>
        <v>0</v>
      </c>
      <c r="G84" s="58">
        <f t="shared" ca="1" si="38"/>
        <v>0</v>
      </c>
      <c r="H84" s="56">
        <f t="shared" ca="1" si="39"/>
        <v>0</v>
      </c>
      <c r="J84" s="52">
        <f t="shared" si="43"/>
        <v>69</v>
      </c>
      <c r="K84" s="57">
        <f t="shared" ca="1" si="40"/>
        <v>0</v>
      </c>
      <c r="L84" s="58">
        <f t="shared" ca="1" si="32"/>
        <v>0</v>
      </c>
      <c r="M84" s="59">
        <f t="shared" ca="1" si="33"/>
        <v>0</v>
      </c>
      <c r="N84" s="57">
        <f t="shared" ca="1" si="34"/>
        <v>0</v>
      </c>
      <c r="O84" s="261">
        <f t="shared" ca="1" si="35"/>
        <v>0</v>
      </c>
      <c r="P84" s="261">
        <f t="shared" ca="1" si="36"/>
        <v>0</v>
      </c>
      <c r="Q84" s="261">
        <f t="shared" ca="1" si="37"/>
        <v>0</v>
      </c>
    </row>
    <row r="85" spans="1:17" ht="19.5" thickBot="1">
      <c r="A85" s="56">
        <v>74</v>
      </c>
      <c r="B85" s="57">
        <f t="shared" ca="1" si="41"/>
        <v>0</v>
      </c>
      <c r="C85" s="58">
        <f t="shared" ca="1" si="27"/>
        <v>0</v>
      </c>
      <c r="D85" s="59">
        <f t="shared" ca="1" si="31"/>
        <v>0</v>
      </c>
      <c r="E85" s="58">
        <f t="shared" ca="1" si="44"/>
        <v>0</v>
      </c>
      <c r="F85" s="59">
        <f t="shared" ca="1" si="25"/>
        <v>0</v>
      </c>
      <c r="G85" s="58">
        <f t="shared" ca="1" si="38"/>
        <v>0</v>
      </c>
      <c r="H85" s="56">
        <f t="shared" ca="1" si="39"/>
        <v>0</v>
      </c>
      <c r="J85" s="52">
        <f t="shared" si="43"/>
        <v>70</v>
      </c>
      <c r="K85" s="57">
        <f t="shared" ca="1" si="40"/>
        <v>0</v>
      </c>
      <c r="L85" s="58">
        <f t="shared" ca="1" si="32"/>
        <v>0</v>
      </c>
      <c r="M85" s="59">
        <f t="shared" ca="1" si="33"/>
        <v>0</v>
      </c>
      <c r="N85" s="57">
        <f t="shared" ca="1" si="34"/>
        <v>0</v>
      </c>
      <c r="O85" s="261">
        <f t="shared" ca="1" si="35"/>
        <v>0</v>
      </c>
      <c r="P85" s="261">
        <f t="shared" ca="1" si="36"/>
        <v>0</v>
      </c>
      <c r="Q85" s="261">
        <f t="shared" ca="1" si="37"/>
        <v>0</v>
      </c>
    </row>
    <row r="86" spans="1:17" ht="19.5" thickBot="1">
      <c r="A86" s="56">
        <v>75</v>
      </c>
      <c r="B86" s="57">
        <f t="shared" ca="1" si="41"/>
        <v>0</v>
      </c>
      <c r="C86" s="58">
        <f t="shared" ca="1" si="27"/>
        <v>0</v>
      </c>
      <c r="D86" s="59">
        <f t="shared" ca="1" si="31"/>
        <v>0</v>
      </c>
      <c r="E86" s="58">
        <f t="shared" ca="1" si="44"/>
        <v>0</v>
      </c>
      <c r="F86" s="59">
        <f t="shared" ca="1" si="25"/>
        <v>0</v>
      </c>
      <c r="G86" s="58">
        <f t="shared" ca="1" si="38"/>
        <v>0</v>
      </c>
      <c r="H86" s="56">
        <f t="shared" ca="1" si="39"/>
        <v>0</v>
      </c>
      <c r="J86" s="52">
        <f t="shared" si="43"/>
        <v>71</v>
      </c>
      <c r="K86" s="57">
        <f t="shared" ca="1" si="40"/>
        <v>0</v>
      </c>
      <c r="L86" s="58">
        <f t="shared" ca="1" si="32"/>
        <v>0</v>
      </c>
      <c r="M86" s="59">
        <f t="shared" ca="1" si="33"/>
        <v>0</v>
      </c>
      <c r="N86" s="57">
        <f t="shared" ca="1" si="34"/>
        <v>0</v>
      </c>
      <c r="O86" s="261">
        <f t="shared" ca="1" si="35"/>
        <v>0</v>
      </c>
      <c r="P86" s="261">
        <f t="shared" ca="1" si="36"/>
        <v>0</v>
      </c>
      <c r="Q86" s="261">
        <f t="shared" ca="1" si="37"/>
        <v>0</v>
      </c>
    </row>
    <row r="87" spans="1:17" ht="19.5" thickBot="1">
      <c r="A87" s="56">
        <v>76</v>
      </c>
      <c r="B87" s="57">
        <f t="shared" ca="1" si="41"/>
        <v>0</v>
      </c>
      <c r="C87" s="58">
        <f t="shared" ca="1" si="27"/>
        <v>0</v>
      </c>
      <c r="D87" s="59">
        <f t="shared" ca="1" si="31"/>
        <v>0</v>
      </c>
      <c r="E87" s="58">
        <f t="shared" ca="1" si="44"/>
        <v>0</v>
      </c>
      <c r="F87" s="59">
        <f t="shared" ca="1" si="25"/>
        <v>0</v>
      </c>
      <c r="G87" s="58">
        <f t="shared" ca="1" si="38"/>
        <v>0</v>
      </c>
      <c r="H87" s="56">
        <f t="shared" ca="1" si="39"/>
        <v>0</v>
      </c>
      <c r="J87" s="52">
        <f t="shared" si="43"/>
        <v>72</v>
      </c>
      <c r="K87" s="57">
        <f t="shared" ca="1" si="40"/>
        <v>0</v>
      </c>
      <c r="L87" s="58">
        <f t="shared" ca="1" si="32"/>
        <v>0</v>
      </c>
      <c r="M87" s="59">
        <f t="shared" ca="1" si="33"/>
        <v>0</v>
      </c>
      <c r="N87" s="57">
        <f t="shared" ca="1" si="34"/>
        <v>0</v>
      </c>
      <c r="O87" s="261">
        <f t="shared" ca="1" si="35"/>
        <v>0</v>
      </c>
      <c r="P87" s="261">
        <f t="shared" ca="1" si="36"/>
        <v>0</v>
      </c>
      <c r="Q87" s="261">
        <f t="shared" ca="1" si="37"/>
        <v>0</v>
      </c>
    </row>
    <row r="88" spans="1:17" ht="19.5" thickBot="1">
      <c r="A88" s="56">
        <v>77</v>
      </c>
      <c r="B88" s="57">
        <f t="shared" ca="1" si="41"/>
        <v>0</v>
      </c>
      <c r="C88" s="58">
        <f ca="1">B87*$D$4</f>
        <v>0</v>
      </c>
      <c r="D88" s="59">
        <f t="shared" ca="1" si="31"/>
        <v>0</v>
      </c>
      <c r="E88" s="58">
        <f t="shared" ca="1" si="44"/>
        <v>0</v>
      </c>
      <c r="F88" s="59">
        <f t="shared" ca="1" si="25"/>
        <v>0</v>
      </c>
      <c r="G88" s="58">
        <f t="shared" ca="1" si="38"/>
        <v>0</v>
      </c>
      <c r="H88" s="56">
        <f t="shared" ca="1" si="39"/>
        <v>0</v>
      </c>
      <c r="J88" s="52">
        <f t="shared" si="43"/>
        <v>73</v>
      </c>
      <c r="K88" s="57">
        <f t="shared" ca="1" si="40"/>
        <v>0</v>
      </c>
      <c r="L88" s="58">
        <f t="shared" ca="1" si="32"/>
        <v>0</v>
      </c>
      <c r="M88" s="59">
        <f t="shared" ca="1" si="33"/>
        <v>0</v>
      </c>
      <c r="N88" s="57">
        <f t="shared" ca="1" si="34"/>
        <v>0</v>
      </c>
      <c r="O88" s="261">
        <f t="shared" ca="1" si="35"/>
        <v>0</v>
      </c>
      <c r="P88" s="261">
        <f t="shared" ca="1" si="36"/>
        <v>0</v>
      </c>
      <c r="Q88" s="261">
        <f t="shared" ca="1" si="37"/>
        <v>0</v>
      </c>
    </row>
    <row r="89" spans="1:17" ht="19.5" thickBot="1">
      <c r="A89" s="56">
        <v>78</v>
      </c>
      <c r="B89" s="57">
        <f t="shared" ca="1" si="41"/>
        <v>0</v>
      </c>
      <c r="C89" s="58">
        <f t="shared" ca="1" si="27"/>
        <v>0</v>
      </c>
      <c r="D89" s="59">
        <f t="shared" ca="1" si="31"/>
        <v>0</v>
      </c>
      <c r="E89" s="58">
        <f t="shared" ca="1" si="44"/>
        <v>0</v>
      </c>
      <c r="F89" s="59">
        <f t="shared" ca="1" si="25"/>
        <v>0</v>
      </c>
      <c r="G89" s="58">
        <f t="shared" ca="1" si="38"/>
        <v>0</v>
      </c>
      <c r="H89" s="56">
        <f t="shared" ca="1" si="39"/>
        <v>0</v>
      </c>
      <c r="J89" s="52">
        <f t="shared" si="43"/>
        <v>74</v>
      </c>
      <c r="K89" s="57">
        <f t="shared" ca="1" si="40"/>
        <v>0</v>
      </c>
      <c r="L89" s="58">
        <f t="shared" ca="1" si="32"/>
        <v>0</v>
      </c>
      <c r="M89" s="59">
        <f t="shared" ca="1" si="33"/>
        <v>0</v>
      </c>
      <c r="N89" s="57">
        <f t="shared" ca="1" si="34"/>
        <v>0</v>
      </c>
      <c r="O89" s="261">
        <f t="shared" ca="1" si="35"/>
        <v>0</v>
      </c>
      <c r="P89" s="261">
        <f t="shared" ca="1" si="36"/>
        <v>0</v>
      </c>
      <c r="Q89" s="261">
        <f t="shared" ca="1" si="37"/>
        <v>0</v>
      </c>
    </row>
    <row r="90" spans="1:17" ht="19.5" thickBot="1">
      <c r="A90" s="56">
        <v>79</v>
      </c>
      <c r="B90" s="57">
        <f t="shared" ca="1" si="41"/>
        <v>0</v>
      </c>
      <c r="C90" s="58">
        <f t="shared" ca="1" si="27"/>
        <v>0</v>
      </c>
      <c r="D90" s="59">
        <f t="shared" ca="1" si="31"/>
        <v>0</v>
      </c>
      <c r="E90" s="58">
        <f t="shared" ref="E90:E95" ca="1" si="45">IF(OR(C$6&gt;6.5,C90&lt;0.01),0,C$8-C90)</f>
        <v>0</v>
      </c>
      <c r="F90" s="59">
        <f t="shared" ca="1" si="25"/>
        <v>0</v>
      </c>
      <c r="G90" s="58">
        <f t="shared" ca="1" si="38"/>
        <v>0</v>
      </c>
      <c r="H90" s="56">
        <f t="shared" ca="1" si="39"/>
        <v>0</v>
      </c>
      <c r="J90" s="52">
        <f t="shared" si="43"/>
        <v>75</v>
      </c>
      <c r="K90" s="57">
        <f t="shared" ca="1" si="40"/>
        <v>0</v>
      </c>
      <c r="L90" s="58">
        <f t="shared" ca="1" si="32"/>
        <v>0</v>
      </c>
      <c r="M90" s="59">
        <f t="shared" ca="1" si="33"/>
        <v>0</v>
      </c>
      <c r="N90" s="57">
        <f t="shared" ca="1" si="34"/>
        <v>0</v>
      </c>
      <c r="O90" s="261">
        <f t="shared" ca="1" si="35"/>
        <v>0</v>
      </c>
      <c r="P90" s="261">
        <f t="shared" ca="1" si="36"/>
        <v>0</v>
      </c>
      <c r="Q90" s="261">
        <f t="shared" ca="1" si="37"/>
        <v>0</v>
      </c>
    </row>
    <row r="91" spans="1:17" ht="19.5" thickBot="1">
      <c r="A91" s="56">
        <v>80</v>
      </c>
      <c r="B91" s="57">
        <f t="shared" ca="1" si="41"/>
        <v>0</v>
      </c>
      <c r="C91" s="58">
        <f ca="1">B90*$D$4</f>
        <v>0</v>
      </c>
      <c r="D91" s="59">
        <f t="shared" ca="1" si="31"/>
        <v>0</v>
      </c>
      <c r="E91" s="58">
        <f t="shared" ca="1" si="45"/>
        <v>0</v>
      </c>
      <c r="F91" s="59">
        <f t="shared" ca="1" si="25"/>
        <v>0</v>
      </c>
      <c r="G91" s="58">
        <f t="shared" ca="1" si="38"/>
        <v>0</v>
      </c>
      <c r="H91" s="56">
        <f t="shared" ca="1" si="39"/>
        <v>0</v>
      </c>
      <c r="J91" s="52">
        <f t="shared" si="43"/>
        <v>76</v>
      </c>
      <c r="K91" s="57">
        <f t="shared" ca="1" si="40"/>
        <v>0</v>
      </c>
      <c r="L91" s="58">
        <f t="shared" ca="1" si="32"/>
        <v>0</v>
      </c>
      <c r="M91" s="59">
        <f t="shared" ca="1" si="33"/>
        <v>0</v>
      </c>
      <c r="N91" s="57">
        <f t="shared" ca="1" si="34"/>
        <v>0</v>
      </c>
      <c r="O91" s="261">
        <f t="shared" ca="1" si="35"/>
        <v>0</v>
      </c>
      <c r="P91" s="261">
        <f t="shared" ca="1" si="36"/>
        <v>0</v>
      </c>
      <c r="Q91" s="261">
        <f t="shared" ca="1" si="37"/>
        <v>0</v>
      </c>
    </row>
    <row r="92" spans="1:17" ht="19.5" thickBot="1">
      <c r="A92" s="56">
        <v>81</v>
      </c>
      <c r="B92" s="57">
        <f t="shared" ca="1" si="41"/>
        <v>0</v>
      </c>
      <c r="C92" s="58">
        <f t="shared" ca="1" si="27"/>
        <v>0</v>
      </c>
      <c r="D92" s="59">
        <f t="shared" ca="1" si="31"/>
        <v>0</v>
      </c>
      <c r="E92" s="58">
        <f t="shared" ca="1" si="45"/>
        <v>0</v>
      </c>
      <c r="F92" s="59">
        <f t="shared" ca="1" si="25"/>
        <v>0</v>
      </c>
      <c r="G92" s="58">
        <f t="shared" ca="1" si="38"/>
        <v>0</v>
      </c>
      <c r="H92" s="56">
        <f t="shared" ca="1" si="39"/>
        <v>0</v>
      </c>
      <c r="J92" s="52">
        <f t="shared" si="43"/>
        <v>77</v>
      </c>
      <c r="K92" s="57">
        <f t="shared" ca="1" si="40"/>
        <v>0</v>
      </c>
      <c r="L92" s="58">
        <f t="shared" ca="1" si="32"/>
        <v>0</v>
      </c>
      <c r="M92" s="59">
        <f t="shared" ca="1" si="33"/>
        <v>0</v>
      </c>
      <c r="N92" s="57">
        <f t="shared" ca="1" si="34"/>
        <v>0</v>
      </c>
      <c r="O92" s="261">
        <f t="shared" ca="1" si="35"/>
        <v>0</v>
      </c>
      <c r="P92" s="261">
        <f t="shared" ca="1" si="36"/>
        <v>0</v>
      </c>
      <c r="Q92" s="261">
        <f t="shared" ca="1" si="37"/>
        <v>0</v>
      </c>
    </row>
    <row r="93" spans="1:17" ht="19.5" thickBot="1">
      <c r="A93" s="56">
        <v>82</v>
      </c>
      <c r="B93" s="57">
        <f t="shared" ca="1" si="41"/>
        <v>0</v>
      </c>
      <c r="C93" s="58">
        <f t="shared" ca="1" si="27"/>
        <v>0</v>
      </c>
      <c r="D93" s="59">
        <f t="shared" ca="1" si="31"/>
        <v>0</v>
      </c>
      <c r="E93" s="58">
        <f t="shared" ca="1" si="45"/>
        <v>0</v>
      </c>
      <c r="F93" s="59">
        <f t="shared" ca="1" si="25"/>
        <v>0</v>
      </c>
      <c r="G93" s="58">
        <f t="shared" ca="1" si="38"/>
        <v>0</v>
      </c>
      <c r="H93" s="56">
        <f t="shared" ca="1" si="39"/>
        <v>0</v>
      </c>
      <c r="J93" s="52">
        <f t="shared" si="43"/>
        <v>78</v>
      </c>
      <c r="K93" s="57">
        <f t="shared" ca="1" si="40"/>
        <v>0</v>
      </c>
      <c r="L93" s="58">
        <f t="shared" ca="1" si="32"/>
        <v>0</v>
      </c>
      <c r="M93" s="59">
        <f t="shared" ca="1" si="33"/>
        <v>0</v>
      </c>
      <c r="N93" s="57">
        <f t="shared" ca="1" si="34"/>
        <v>0</v>
      </c>
      <c r="O93" s="261">
        <f t="shared" ca="1" si="35"/>
        <v>0</v>
      </c>
      <c r="P93" s="261">
        <f t="shared" ca="1" si="36"/>
        <v>0</v>
      </c>
      <c r="Q93" s="261">
        <f t="shared" ca="1" si="37"/>
        <v>0</v>
      </c>
    </row>
    <row r="94" spans="1:17" ht="19.5" thickBot="1">
      <c r="A94" s="56">
        <v>83</v>
      </c>
      <c r="B94" s="57">
        <f t="shared" ca="1" si="41"/>
        <v>0</v>
      </c>
      <c r="C94" s="58">
        <f ca="1">B93*$D$4</f>
        <v>0</v>
      </c>
      <c r="D94" s="59">
        <f t="shared" ca="1" si="31"/>
        <v>0</v>
      </c>
      <c r="E94" s="58">
        <f t="shared" ca="1" si="45"/>
        <v>0</v>
      </c>
      <c r="F94" s="59">
        <f t="shared" ca="1" si="25"/>
        <v>0</v>
      </c>
      <c r="G94" s="58">
        <f t="shared" ca="1" si="38"/>
        <v>0</v>
      </c>
      <c r="H94" s="56">
        <f t="shared" ca="1" si="39"/>
        <v>0</v>
      </c>
      <c r="J94" s="52">
        <f t="shared" si="43"/>
        <v>79</v>
      </c>
      <c r="K94" s="57">
        <f t="shared" ca="1" si="40"/>
        <v>0</v>
      </c>
      <c r="L94" s="58">
        <f t="shared" ca="1" si="32"/>
        <v>0</v>
      </c>
      <c r="M94" s="59">
        <f t="shared" ca="1" si="33"/>
        <v>0</v>
      </c>
      <c r="N94" s="57">
        <f t="shared" ca="1" si="34"/>
        <v>0</v>
      </c>
      <c r="O94" s="261">
        <f t="shared" ca="1" si="35"/>
        <v>0</v>
      </c>
      <c r="P94" s="261">
        <f t="shared" ca="1" si="36"/>
        <v>0</v>
      </c>
      <c r="Q94" s="261">
        <f t="shared" ca="1" si="37"/>
        <v>0</v>
      </c>
    </row>
    <row r="95" spans="1:17" ht="19.5" thickBot="1">
      <c r="A95" s="56">
        <v>84</v>
      </c>
      <c r="B95" s="57">
        <f t="shared" ca="1" si="41"/>
        <v>0</v>
      </c>
      <c r="C95" s="58">
        <f t="shared" ca="1" si="27"/>
        <v>0</v>
      </c>
      <c r="D95" s="59">
        <f t="shared" ca="1" si="31"/>
        <v>0</v>
      </c>
      <c r="E95" s="58">
        <f t="shared" ca="1" si="45"/>
        <v>0</v>
      </c>
      <c r="F95" s="59">
        <f t="shared" ca="1" si="25"/>
        <v>0</v>
      </c>
      <c r="G95" s="58">
        <f t="shared" ca="1" si="38"/>
        <v>0</v>
      </c>
      <c r="H95" s="56">
        <f t="shared" ca="1" si="39"/>
        <v>0</v>
      </c>
      <c r="J95" s="52">
        <f t="shared" si="43"/>
        <v>80</v>
      </c>
      <c r="K95" s="57">
        <f t="shared" ca="1" si="40"/>
        <v>0</v>
      </c>
      <c r="L95" s="58">
        <f t="shared" ca="1" si="32"/>
        <v>0</v>
      </c>
      <c r="M95" s="59">
        <f t="shared" ca="1" si="33"/>
        <v>0</v>
      </c>
      <c r="N95" s="57">
        <f t="shared" ca="1" si="34"/>
        <v>0</v>
      </c>
      <c r="O95" s="261">
        <f t="shared" ca="1" si="35"/>
        <v>0</v>
      </c>
      <c r="P95" s="261">
        <f t="shared" ca="1" si="36"/>
        <v>0</v>
      </c>
      <c r="Q95" s="261">
        <f t="shared" ca="1" si="37"/>
        <v>0</v>
      </c>
    </row>
    <row r="96" spans="1:17" ht="19.5" thickBot="1">
      <c r="A96" s="56">
        <v>85</v>
      </c>
      <c r="B96" s="57">
        <f t="shared" ca="1" si="41"/>
        <v>0</v>
      </c>
      <c r="C96" s="58">
        <f t="shared" ca="1" si="27"/>
        <v>0</v>
      </c>
      <c r="D96" s="59">
        <f t="shared" ca="1" si="31"/>
        <v>0</v>
      </c>
      <c r="E96" s="58">
        <f t="shared" ref="E96:E101" ca="1" si="46">IF(OR(C$6&gt;7,C96&lt;0.01),0,C$8-C96)</f>
        <v>0</v>
      </c>
      <c r="F96" s="59">
        <f t="shared" ca="1" si="25"/>
        <v>0</v>
      </c>
      <c r="G96" s="58">
        <f t="shared" ca="1" si="38"/>
        <v>0</v>
      </c>
      <c r="H96" s="56">
        <f t="shared" ca="1" si="39"/>
        <v>0</v>
      </c>
      <c r="J96" s="52">
        <f t="shared" si="43"/>
        <v>81</v>
      </c>
      <c r="K96" s="57">
        <f t="shared" ca="1" si="40"/>
        <v>0</v>
      </c>
      <c r="L96" s="58">
        <f t="shared" ca="1" si="32"/>
        <v>0</v>
      </c>
      <c r="M96" s="59">
        <f t="shared" ca="1" si="33"/>
        <v>0</v>
      </c>
      <c r="N96" s="57">
        <f t="shared" ca="1" si="34"/>
        <v>0</v>
      </c>
      <c r="O96" s="261">
        <f t="shared" ca="1" si="35"/>
        <v>0</v>
      </c>
      <c r="P96" s="261">
        <f t="shared" ca="1" si="36"/>
        <v>0</v>
      </c>
      <c r="Q96" s="261">
        <f t="shared" ca="1" si="37"/>
        <v>0</v>
      </c>
    </row>
    <row r="97" spans="1:17" ht="19.5" thickBot="1">
      <c r="A97" s="56">
        <v>86</v>
      </c>
      <c r="B97" s="57">
        <f t="shared" ca="1" si="41"/>
        <v>0</v>
      </c>
      <c r="C97" s="58">
        <f ca="1">B96*$D$4</f>
        <v>0</v>
      </c>
      <c r="D97" s="59">
        <f t="shared" ca="1" si="31"/>
        <v>0</v>
      </c>
      <c r="E97" s="58">
        <f t="shared" ca="1" si="46"/>
        <v>0</v>
      </c>
      <c r="F97" s="59">
        <f t="shared" ca="1" si="25"/>
        <v>0</v>
      </c>
      <c r="G97" s="58">
        <f t="shared" ca="1" si="38"/>
        <v>0</v>
      </c>
      <c r="H97" s="56">
        <f t="shared" ca="1" si="39"/>
        <v>0</v>
      </c>
      <c r="J97" s="52">
        <f t="shared" si="43"/>
        <v>82</v>
      </c>
      <c r="K97" s="57">
        <f t="shared" ca="1" si="40"/>
        <v>0</v>
      </c>
      <c r="L97" s="58">
        <f t="shared" ca="1" si="32"/>
        <v>0</v>
      </c>
      <c r="M97" s="59">
        <f t="shared" ca="1" si="33"/>
        <v>0</v>
      </c>
      <c r="N97" s="57">
        <f t="shared" ca="1" si="34"/>
        <v>0</v>
      </c>
      <c r="O97" s="261">
        <f t="shared" ca="1" si="35"/>
        <v>0</v>
      </c>
      <c r="P97" s="261">
        <f t="shared" ca="1" si="36"/>
        <v>0</v>
      </c>
      <c r="Q97" s="261">
        <f t="shared" ca="1" si="37"/>
        <v>0</v>
      </c>
    </row>
    <row r="98" spans="1:17" ht="19.5" thickBot="1">
      <c r="A98" s="56">
        <v>87</v>
      </c>
      <c r="B98" s="57">
        <f t="shared" ca="1" si="41"/>
        <v>0</v>
      </c>
      <c r="C98" s="58">
        <f t="shared" ca="1" si="27"/>
        <v>0</v>
      </c>
      <c r="D98" s="59">
        <f t="shared" ca="1" si="31"/>
        <v>0</v>
      </c>
      <c r="E98" s="58">
        <f t="shared" ca="1" si="46"/>
        <v>0</v>
      </c>
      <c r="F98" s="59">
        <f t="shared" ca="1" si="25"/>
        <v>0</v>
      </c>
      <c r="G98" s="58">
        <f t="shared" ca="1" si="38"/>
        <v>0</v>
      </c>
      <c r="H98" s="56">
        <f t="shared" ca="1" si="39"/>
        <v>0</v>
      </c>
      <c r="J98" s="52">
        <f t="shared" si="43"/>
        <v>83</v>
      </c>
      <c r="K98" s="57">
        <f t="shared" ca="1" si="40"/>
        <v>0</v>
      </c>
      <c r="L98" s="58">
        <f t="shared" ca="1" si="32"/>
        <v>0</v>
      </c>
      <c r="M98" s="59">
        <f t="shared" ca="1" si="33"/>
        <v>0</v>
      </c>
      <c r="N98" s="57">
        <f t="shared" ca="1" si="34"/>
        <v>0</v>
      </c>
      <c r="O98" s="261">
        <f t="shared" ca="1" si="35"/>
        <v>0</v>
      </c>
      <c r="P98" s="261">
        <f t="shared" ca="1" si="36"/>
        <v>0</v>
      </c>
      <c r="Q98" s="261">
        <f t="shared" ca="1" si="37"/>
        <v>0</v>
      </c>
    </row>
    <row r="99" spans="1:17" ht="19.5" thickBot="1">
      <c r="A99" s="56">
        <v>88</v>
      </c>
      <c r="B99" s="57">
        <f t="shared" ca="1" si="41"/>
        <v>0</v>
      </c>
      <c r="C99" s="58">
        <f t="shared" ca="1" si="27"/>
        <v>0</v>
      </c>
      <c r="D99" s="59">
        <f t="shared" ca="1" si="31"/>
        <v>0</v>
      </c>
      <c r="E99" s="58">
        <f t="shared" ca="1" si="46"/>
        <v>0</v>
      </c>
      <c r="F99" s="59">
        <f t="shared" ca="1" si="25"/>
        <v>0</v>
      </c>
      <c r="G99" s="58">
        <f t="shared" ca="1" si="38"/>
        <v>0</v>
      </c>
      <c r="H99" s="56">
        <f t="shared" ca="1" si="39"/>
        <v>0</v>
      </c>
      <c r="J99" s="52">
        <f t="shared" si="43"/>
        <v>84</v>
      </c>
      <c r="K99" s="57">
        <f t="shared" ca="1" si="40"/>
        <v>0</v>
      </c>
      <c r="L99" s="58">
        <f t="shared" ca="1" si="32"/>
        <v>0</v>
      </c>
      <c r="M99" s="59">
        <f t="shared" ca="1" si="33"/>
        <v>0</v>
      </c>
      <c r="N99" s="57">
        <f t="shared" ca="1" si="34"/>
        <v>0</v>
      </c>
      <c r="O99" s="261">
        <f t="shared" ca="1" si="35"/>
        <v>0</v>
      </c>
      <c r="P99" s="261">
        <f t="shared" ca="1" si="36"/>
        <v>0</v>
      </c>
      <c r="Q99" s="261">
        <f t="shared" ca="1" si="37"/>
        <v>0</v>
      </c>
    </row>
    <row r="100" spans="1:17" ht="19.5" thickBot="1">
      <c r="A100" s="56">
        <v>89</v>
      </c>
      <c r="B100" s="57">
        <f t="shared" ca="1" si="41"/>
        <v>0</v>
      </c>
      <c r="C100" s="58">
        <f ca="1">B99*$D$4</f>
        <v>0</v>
      </c>
      <c r="D100" s="59">
        <f t="shared" ca="1" si="31"/>
        <v>0</v>
      </c>
      <c r="E100" s="58">
        <f t="shared" ca="1" si="46"/>
        <v>0</v>
      </c>
      <c r="F100" s="59">
        <f t="shared" ca="1" si="25"/>
        <v>0</v>
      </c>
      <c r="G100" s="58">
        <f t="shared" ca="1" si="38"/>
        <v>0</v>
      </c>
      <c r="H100" s="56">
        <f t="shared" ca="1" si="39"/>
        <v>0</v>
      </c>
      <c r="J100" s="52">
        <f t="shared" si="43"/>
        <v>85</v>
      </c>
      <c r="K100" s="57">
        <f t="shared" ca="1" si="40"/>
        <v>0</v>
      </c>
      <c r="L100" s="58">
        <f t="shared" ca="1" si="32"/>
        <v>0</v>
      </c>
      <c r="M100" s="59">
        <f t="shared" ca="1" si="33"/>
        <v>0</v>
      </c>
      <c r="N100" s="57">
        <f t="shared" ca="1" si="34"/>
        <v>0</v>
      </c>
      <c r="O100" s="261">
        <f t="shared" ca="1" si="35"/>
        <v>0</v>
      </c>
      <c r="P100" s="261">
        <f t="shared" ca="1" si="36"/>
        <v>0</v>
      </c>
      <c r="Q100" s="261">
        <f t="shared" ca="1" si="37"/>
        <v>0</v>
      </c>
    </row>
    <row r="101" spans="1:17" ht="19.5" thickBot="1">
      <c r="A101" s="56">
        <v>90</v>
      </c>
      <c r="B101" s="57">
        <f t="shared" ca="1" si="41"/>
        <v>0</v>
      </c>
      <c r="C101" s="58">
        <f t="shared" ca="1" si="27"/>
        <v>0</v>
      </c>
      <c r="D101" s="59">
        <f t="shared" ca="1" si="31"/>
        <v>0</v>
      </c>
      <c r="E101" s="58">
        <f t="shared" ca="1" si="46"/>
        <v>0</v>
      </c>
      <c r="F101" s="59">
        <f t="shared" ca="1" si="25"/>
        <v>0</v>
      </c>
      <c r="G101" s="58">
        <f t="shared" ca="1" si="38"/>
        <v>0</v>
      </c>
      <c r="H101" s="56">
        <f t="shared" ca="1" si="39"/>
        <v>0</v>
      </c>
      <c r="J101" s="52">
        <f t="shared" si="43"/>
        <v>86</v>
      </c>
      <c r="K101" s="57">
        <f t="shared" ca="1" si="40"/>
        <v>0</v>
      </c>
      <c r="L101" s="58">
        <f t="shared" ca="1" si="32"/>
        <v>0</v>
      </c>
      <c r="M101" s="59">
        <f t="shared" ca="1" si="33"/>
        <v>0</v>
      </c>
      <c r="N101" s="57">
        <f t="shared" ca="1" si="34"/>
        <v>0</v>
      </c>
      <c r="O101" s="261">
        <f t="shared" ca="1" si="35"/>
        <v>0</v>
      </c>
      <c r="P101" s="261">
        <f t="shared" ca="1" si="36"/>
        <v>0</v>
      </c>
      <c r="Q101" s="261">
        <f t="shared" ca="1" si="37"/>
        <v>0</v>
      </c>
    </row>
    <row r="102" spans="1:17" ht="19.5" thickBot="1">
      <c r="A102" s="56">
        <v>91</v>
      </c>
      <c r="B102" s="57">
        <f t="shared" ca="1" si="41"/>
        <v>0</v>
      </c>
      <c r="C102" s="58">
        <f t="shared" ca="1" si="27"/>
        <v>0</v>
      </c>
      <c r="D102" s="59">
        <f t="shared" ca="1" si="31"/>
        <v>0</v>
      </c>
      <c r="E102" s="58">
        <f t="shared" ref="E102:E107" ca="1" si="47">IF(OR(C$6&gt;7.5,C102&lt;0.01),0,C$8-C102)</f>
        <v>0</v>
      </c>
      <c r="F102" s="59">
        <f t="shared" ca="1" si="25"/>
        <v>0</v>
      </c>
      <c r="G102" s="58">
        <f t="shared" ca="1" si="38"/>
        <v>0</v>
      </c>
      <c r="H102" s="56">
        <f t="shared" ca="1" si="39"/>
        <v>0</v>
      </c>
      <c r="J102" s="52">
        <f t="shared" si="43"/>
        <v>87</v>
      </c>
      <c r="K102" s="57">
        <f t="shared" ca="1" si="40"/>
        <v>0</v>
      </c>
      <c r="L102" s="58">
        <f t="shared" ca="1" si="32"/>
        <v>0</v>
      </c>
      <c r="M102" s="59">
        <f t="shared" ca="1" si="33"/>
        <v>0</v>
      </c>
      <c r="N102" s="57">
        <f t="shared" ca="1" si="34"/>
        <v>0</v>
      </c>
      <c r="O102" s="261">
        <f t="shared" ca="1" si="35"/>
        <v>0</v>
      </c>
      <c r="P102" s="261">
        <f t="shared" ca="1" si="36"/>
        <v>0</v>
      </c>
      <c r="Q102" s="261">
        <f t="shared" ca="1" si="37"/>
        <v>0</v>
      </c>
    </row>
    <row r="103" spans="1:17" ht="19.5" thickBot="1">
      <c r="A103" s="56">
        <v>92</v>
      </c>
      <c r="B103" s="57">
        <f t="shared" ca="1" si="41"/>
        <v>0</v>
      </c>
      <c r="C103" s="58">
        <f ca="1">B102*$D$4</f>
        <v>0</v>
      </c>
      <c r="D103" s="59">
        <f t="shared" ca="1" si="31"/>
        <v>0</v>
      </c>
      <c r="E103" s="58">
        <f t="shared" ca="1" si="47"/>
        <v>0</v>
      </c>
      <c r="F103" s="59">
        <f t="shared" ca="1" si="25"/>
        <v>0</v>
      </c>
      <c r="G103" s="58">
        <f t="shared" ca="1" si="38"/>
        <v>0</v>
      </c>
      <c r="H103" s="56">
        <f t="shared" ca="1" si="39"/>
        <v>0</v>
      </c>
      <c r="J103" s="52">
        <f t="shared" si="43"/>
        <v>88</v>
      </c>
      <c r="K103" s="57">
        <f t="shared" ca="1" si="40"/>
        <v>0</v>
      </c>
      <c r="L103" s="58">
        <f t="shared" ca="1" si="32"/>
        <v>0</v>
      </c>
      <c r="M103" s="59">
        <f t="shared" ca="1" si="33"/>
        <v>0</v>
      </c>
      <c r="N103" s="57">
        <f t="shared" ca="1" si="34"/>
        <v>0</v>
      </c>
      <c r="O103" s="261">
        <f t="shared" ca="1" si="35"/>
        <v>0</v>
      </c>
      <c r="P103" s="261">
        <f t="shared" ca="1" si="36"/>
        <v>0</v>
      </c>
      <c r="Q103" s="261">
        <f t="shared" ca="1" si="37"/>
        <v>0</v>
      </c>
    </row>
    <row r="104" spans="1:17" ht="19.5" thickBot="1">
      <c r="A104" s="56">
        <v>93</v>
      </c>
      <c r="B104" s="57">
        <f t="shared" ca="1" si="41"/>
        <v>0</v>
      </c>
      <c r="C104" s="58">
        <f t="shared" ca="1" si="27"/>
        <v>0</v>
      </c>
      <c r="D104" s="59">
        <f t="shared" ca="1" si="31"/>
        <v>0</v>
      </c>
      <c r="E104" s="58">
        <f t="shared" ca="1" si="47"/>
        <v>0</v>
      </c>
      <c r="F104" s="59">
        <f t="shared" ca="1" si="25"/>
        <v>0</v>
      </c>
      <c r="G104" s="58">
        <f t="shared" ca="1" si="38"/>
        <v>0</v>
      </c>
      <c r="H104" s="56">
        <f t="shared" ca="1" si="39"/>
        <v>0</v>
      </c>
      <c r="J104" s="52">
        <f t="shared" si="43"/>
        <v>89</v>
      </c>
      <c r="K104" s="57">
        <f t="shared" ca="1" si="40"/>
        <v>0</v>
      </c>
      <c r="L104" s="58">
        <f t="shared" ca="1" si="32"/>
        <v>0</v>
      </c>
      <c r="M104" s="59">
        <f t="shared" ca="1" si="33"/>
        <v>0</v>
      </c>
      <c r="N104" s="57">
        <f t="shared" ca="1" si="34"/>
        <v>0</v>
      </c>
      <c r="O104" s="261">
        <f t="shared" ca="1" si="35"/>
        <v>0</v>
      </c>
      <c r="P104" s="261">
        <f t="shared" ca="1" si="36"/>
        <v>0</v>
      </c>
      <c r="Q104" s="261">
        <f t="shared" ca="1" si="37"/>
        <v>0</v>
      </c>
    </row>
    <row r="105" spans="1:17" ht="19.5" thickBot="1">
      <c r="A105" s="56">
        <v>94</v>
      </c>
      <c r="B105" s="57">
        <f t="shared" ca="1" si="41"/>
        <v>0</v>
      </c>
      <c r="C105" s="58">
        <f t="shared" ca="1" si="27"/>
        <v>0</v>
      </c>
      <c r="D105" s="59">
        <f t="shared" ca="1" si="31"/>
        <v>0</v>
      </c>
      <c r="E105" s="58">
        <f t="shared" ca="1" si="47"/>
        <v>0</v>
      </c>
      <c r="F105" s="59">
        <f t="shared" ca="1" si="25"/>
        <v>0</v>
      </c>
      <c r="G105" s="58">
        <f t="shared" ca="1" si="38"/>
        <v>0</v>
      </c>
      <c r="H105" s="56">
        <f t="shared" ca="1" si="39"/>
        <v>0</v>
      </c>
      <c r="J105" s="52">
        <f t="shared" si="43"/>
        <v>90</v>
      </c>
      <c r="K105" s="57">
        <f t="shared" ca="1" si="40"/>
        <v>0</v>
      </c>
      <c r="L105" s="58">
        <f t="shared" ca="1" si="32"/>
        <v>0</v>
      </c>
      <c r="M105" s="59">
        <f t="shared" ca="1" si="33"/>
        <v>0</v>
      </c>
      <c r="N105" s="57">
        <f t="shared" ca="1" si="34"/>
        <v>0</v>
      </c>
      <c r="O105" s="261">
        <f t="shared" ca="1" si="35"/>
        <v>0</v>
      </c>
      <c r="P105" s="261">
        <f t="shared" ca="1" si="36"/>
        <v>0</v>
      </c>
      <c r="Q105" s="261">
        <f t="shared" ca="1" si="37"/>
        <v>0</v>
      </c>
    </row>
    <row r="106" spans="1:17" ht="19.5" thickBot="1">
      <c r="A106" s="56">
        <v>95</v>
      </c>
      <c r="B106" s="57">
        <f t="shared" ca="1" si="41"/>
        <v>0</v>
      </c>
      <c r="C106" s="58">
        <f ca="1">B105*$D$4</f>
        <v>0</v>
      </c>
      <c r="D106" s="59">
        <f t="shared" ca="1" si="31"/>
        <v>0</v>
      </c>
      <c r="E106" s="58">
        <f t="shared" ca="1" si="47"/>
        <v>0</v>
      </c>
      <c r="F106" s="59">
        <f t="shared" ca="1" si="25"/>
        <v>0</v>
      </c>
      <c r="G106" s="58">
        <f t="shared" ca="1" si="38"/>
        <v>0</v>
      </c>
      <c r="H106" s="56">
        <f t="shared" ca="1" si="39"/>
        <v>0</v>
      </c>
      <c r="J106" s="52">
        <f t="shared" si="43"/>
        <v>91</v>
      </c>
      <c r="K106" s="57">
        <f t="shared" ca="1" si="40"/>
        <v>0</v>
      </c>
      <c r="L106" s="58">
        <f t="shared" ca="1" si="32"/>
        <v>0</v>
      </c>
      <c r="M106" s="59">
        <f t="shared" ca="1" si="33"/>
        <v>0</v>
      </c>
      <c r="N106" s="57">
        <f t="shared" ca="1" si="34"/>
        <v>0</v>
      </c>
      <c r="O106" s="261">
        <f t="shared" ca="1" si="35"/>
        <v>0</v>
      </c>
      <c r="P106" s="261">
        <f t="shared" ca="1" si="36"/>
        <v>0</v>
      </c>
      <c r="Q106" s="261">
        <f t="shared" ca="1" si="37"/>
        <v>0</v>
      </c>
    </row>
    <row r="107" spans="1:17" ht="19.5" thickBot="1">
      <c r="A107" s="56">
        <v>96</v>
      </c>
      <c r="B107" s="57">
        <f t="shared" ca="1" si="41"/>
        <v>0</v>
      </c>
      <c r="C107" s="58">
        <f t="shared" ca="1" si="27"/>
        <v>0</v>
      </c>
      <c r="D107" s="59">
        <f t="shared" ca="1" si="31"/>
        <v>0</v>
      </c>
      <c r="E107" s="58">
        <f t="shared" ca="1" si="47"/>
        <v>0</v>
      </c>
      <c r="F107" s="59">
        <f t="shared" ca="1" si="25"/>
        <v>0</v>
      </c>
      <c r="G107" s="58">
        <f t="shared" ca="1" si="38"/>
        <v>0</v>
      </c>
      <c r="H107" s="56">
        <f t="shared" ca="1" si="39"/>
        <v>0</v>
      </c>
      <c r="J107" s="52">
        <f t="shared" si="43"/>
        <v>92</v>
      </c>
      <c r="K107" s="57">
        <f t="shared" ca="1" si="40"/>
        <v>0</v>
      </c>
      <c r="L107" s="58">
        <f t="shared" ca="1" si="32"/>
        <v>0</v>
      </c>
      <c r="M107" s="59">
        <f t="shared" ca="1" si="33"/>
        <v>0</v>
      </c>
      <c r="N107" s="57">
        <f t="shared" ca="1" si="34"/>
        <v>0</v>
      </c>
      <c r="O107" s="261">
        <f t="shared" ca="1" si="35"/>
        <v>0</v>
      </c>
      <c r="P107" s="261">
        <f t="shared" ca="1" si="36"/>
        <v>0</v>
      </c>
      <c r="Q107" s="261">
        <f t="shared" ca="1" si="37"/>
        <v>0</v>
      </c>
    </row>
    <row r="108" spans="1:17" ht="19.5" thickBot="1">
      <c r="A108" s="56">
        <v>97</v>
      </c>
      <c r="B108" s="57">
        <f t="shared" ca="1" si="41"/>
        <v>0</v>
      </c>
      <c r="C108" s="58">
        <f t="shared" ca="1" si="27"/>
        <v>0</v>
      </c>
      <c r="D108" s="59">
        <f t="shared" ca="1" si="31"/>
        <v>0</v>
      </c>
      <c r="E108" s="58">
        <f t="shared" ref="E108:E113" ca="1" si="48">IF(OR(C$6&gt;8,C108&lt;0.01),0,C$8-C108)</f>
        <v>0</v>
      </c>
      <c r="F108" s="59">
        <f t="shared" ca="1" si="25"/>
        <v>0</v>
      </c>
      <c r="G108" s="58">
        <f t="shared" ca="1" si="38"/>
        <v>0</v>
      </c>
      <c r="H108" s="56">
        <f t="shared" ca="1" si="39"/>
        <v>0</v>
      </c>
      <c r="J108" s="52">
        <f t="shared" si="43"/>
        <v>93</v>
      </c>
      <c r="K108" s="57">
        <f t="shared" ca="1" si="40"/>
        <v>0</v>
      </c>
      <c r="L108" s="58">
        <f t="shared" ca="1" si="32"/>
        <v>0</v>
      </c>
      <c r="M108" s="59">
        <f t="shared" ca="1" si="33"/>
        <v>0</v>
      </c>
      <c r="N108" s="57">
        <f t="shared" ca="1" si="34"/>
        <v>0</v>
      </c>
      <c r="O108" s="261">
        <f t="shared" ca="1" si="35"/>
        <v>0</v>
      </c>
      <c r="P108" s="261">
        <f t="shared" ca="1" si="36"/>
        <v>0</v>
      </c>
      <c r="Q108" s="261">
        <f t="shared" ca="1" si="37"/>
        <v>0</v>
      </c>
    </row>
    <row r="109" spans="1:17" ht="19.5" thickBot="1">
      <c r="A109" s="56">
        <v>98</v>
      </c>
      <c r="B109" s="57">
        <f t="shared" ca="1" si="41"/>
        <v>0</v>
      </c>
      <c r="C109" s="58">
        <f ca="1">B108*$D$4</f>
        <v>0</v>
      </c>
      <c r="D109" s="59">
        <f t="shared" ca="1" si="31"/>
        <v>0</v>
      </c>
      <c r="E109" s="58">
        <f t="shared" ca="1" si="48"/>
        <v>0</v>
      </c>
      <c r="F109" s="59">
        <f t="shared" ca="1" si="25"/>
        <v>0</v>
      </c>
      <c r="G109" s="58">
        <f t="shared" ca="1" si="38"/>
        <v>0</v>
      </c>
      <c r="H109" s="56">
        <f t="shared" ca="1" si="39"/>
        <v>0</v>
      </c>
      <c r="J109" s="52">
        <f t="shared" si="43"/>
        <v>94</v>
      </c>
      <c r="K109" s="57">
        <f t="shared" ca="1" si="40"/>
        <v>0</v>
      </c>
      <c r="L109" s="58">
        <f t="shared" ca="1" si="32"/>
        <v>0</v>
      </c>
      <c r="M109" s="59">
        <f t="shared" ca="1" si="33"/>
        <v>0</v>
      </c>
      <c r="N109" s="57">
        <f t="shared" ca="1" si="34"/>
        <v>0</v>
      </c>
      <c r="O109" s="261">
        <f t="shared" ca="1" si="35"/>
        <v>0</v>
      </c>
      <c r="P109" s="261">
        <f t="shared" ca="1" si="36"/>
        <v>0</v>
      </c>
      <c r="Q109" s="261">
        <f t="shared" ca="1" si="37"/>
        <v>0</v>
      </c>
    </row>
    <row r="110" spans="1:17" ht="19.5" thickBot="1">
      <c r="A110" s="56">
        <v>99</v>
      </c>
      <c r="B110" s="57">
        <f t="shared" ca="1" si="41"/>
        <v>0</v>
      </c>
      <c r="C110" s="58">
        <f t="shared" ca="1" si="27"/>
        <v>0</v>
      </c>
      <c r="D110" s="59">
        <f t="shared" ca="1" si="31"/>
        <v>0</v>
      </c>
      <c r="E110" s="58">
        <f t="shared" ca="1" si="48"/>
        <v>0</v>
      </c>
      <c r="F110" s="59">
        <f t="shared" ca="1" si="25"/>
        <v>0</v>
      </c>
      <c r="G110" s="58">
        <f t="shared" ca="1" si="38"/>
        <v>0</v>
      </c>
      <c r="H110" s="56">
        <f t="shared" ca="1" si="39"/>
        <v>0</v>
      </c>
      <c r="J110" s="52">
        <f t="shared" si="43"/>
        <v>95</v>
      </c>
      <c r="K110" s="57">
        <f t="shared" ca="1" si="40"/>
        <v>0</v>
      </c>
      <c r="L110" s="58">
        <f t="shared" ca="1" si="32"/>
        <v>0</v>
      </c>
      <c r="M110" s="59">
        <f t="shared" ca="1" si="33"/>
        <v>0</v>
      </c>
      <c r="N110" s="57">
        <f t="shared" ca="1" si="34"/>
        <v>0</v>
      </c>
      <c r="O110" s="261">
        <f t="shared" ca="1" si="35"/>
        <v>0</v>
      </c>
      <c r="P110" s="261">
        <f t="shared" ca="1" si="36"/>
        <v>0</v>
      </c>
      <c r="Q110" s="261">
        <f t="shared" ca="1" si="37"/>
        <v>0</v>
      </c>
    </row>
    <row r="111" spans="1:17" ht="19.5" thickBot="1">
      <c r="A111" s="56">
        <v>100</v>
      </c>
      <c r="B111" s="57">
        <f t="shared" ca="1" si="41"/>
        <v>0</v>
      </c>
      <c r="C111" s="58">
        <f t="shared" ca="1" si="27"/>
        <v>0</v>
      </c>
      <c r="D111" s="59">
        <f t="shared" ca="1" si="31"/>
        <v>0</v>
      </c>
      <c r="E111" s="58">
        <f t="shared" ca="1" si="48"/>
        <v>0</v>
      </c>
      <c r="F111" s="59">
        <f t="shared" ca="1" si="25"/>
        <v>0</v>
      </c>
      <c r="G111" s="58">
        <f t="shared" ca="1" si="38"/>
        <v>0</v>
      </c>
      <c r="H111" s="56">
        <f t="shared" ca="1" si="39"/>
        <v>0</v>
      </c>
      <c r="J111" s="52">
        <f t="shared" si="43"/>
        <v>96</v>
      </c>
      <c r="K111" s="57">
        <f t="shared" ca="1" si="40"/>
        <v>0</v>
      </c>
      <c r="L111" s="58">
        <f t="shared" ca="1" si="32"/>
        <v>0</v>
      </c>
      <c r="M111" s="59">
        <f t="shared" ca="1" si="33"/>
        <v>0</v>
      </c>
      <c r="N111" s="57">
        <f t="shared" ca="1" si="34"/>
        <v>0</v>
      </c>
      <c r="O111" s="261">
        <f t="shared" ca="1" si="35"/>
        <v>0</v>
      </c>
      <c r="P111" s="261">
        <f t="shared" ca="1" si="36"/>
        <v>0</v>
      </c>
      <c r="Q111" s="261">
        <f t="shared" ca="1" si="37"/>
        <v>0</v>
      </c>
    </row>
    <row r="112" spans="1:17" ht="19.5" thickBot="1">
      <c r="A112" s="56">
        <v>101</v>
      </c>
      <c r="B112" s="57">
        <f t="shared" ca="1" si="41"/>
        <v>0</v>
      </c>
      <c r="C112" s="58">
        <f ca="1">B111*$D$4</f>
        <v>0</v>
      </c>
      <c r="D112" s="59">
        <f t="shared" ca="1" si="31"/>
        <v>0</v>
      </c>
      <c r="E112" s="58">
        <f t="shared" ca="1" si="48"/>
        <v>0</v>
      </c>
      <c r="F112" s="59">
        <f t="shared" ref="F112:F175" ca="1" si="49">IF(D112=0,0,F111+E112)</f>
        <v>0</v>
      </c>
      <c r="G112" s="58">
        <f t="shared" ca="1" si="38"/>
        <v>0</v>
      </c>
      <c r="H112" s="56">
        <f t="shared" ca="1" si="39"/>
        <v>0</v>
      </c>
      <c r="J112" s="52">
        <f t="shared" si="43"/>
        <v>97</v>
      </c>
      <c r="K112" s="57">
        <f t="shared" ca="1" si="40"/>
        <v>0</v>
      </c>
      <c r="L112" s="58">
        <f t="shared" ca="1" si="32"/>
        <v>0</v>
      </c>
      <c r="M112" s="59">
        <f t="shared" ca="1" si="33"/>
        <v>0</v>
      </c>
      <c r="N112" s="57">
        <f t="shared" ca="1" si="34"/>
        <v>0</v>
      </c>
      <c r="O112" s="261">
        <f t="shared" ca="1" si="35"/>
        <v>0</v>
      </c>
      <c r="P112" s="261">
        <f t="shared" ca="1" si="36"/>
        <v>0</v>
      </c>
      <c r="Q112" s="261">
        <f t="shared" ca="1" si="37"/>
        <v>0</v>
      </c>
    </row>
    <row r="113" spans="1:17" ht="19.5" thickBot="1">
      <c r="A113" s="56">
        <v>102</v>
      </c>
      <c r="B113" s="57">
        <f t="shared" ca="1" si="41"/>
        <v>0</v>
      </c>
      <c r="C113" s="58">
        <f t="shared" ca="1" si="27"/>
        <v>0</v>
      </c>
      <c r="D113" s="59">
        <f t="shared" ca="1" si="31"/>
        <v>0</v>
      </c>
      <c r="E113" s="58">
        <f t="shared" ca="1" si="48"/>
        <v>0</v>
      </c>
      <c r="F113" s="59">
        <f t="shared" ca="1" si="49"/>
        <v>0</v>
      </c>
      <c r="G113" s="58">
        <f t="shared" ca="1" si="38"/>
        <v>0</v>
      </c>
      <c r="H113" s="56">
        <f t="shared" ca="1" si="39"/>
        <v>0</v>
      </c>
      <c r="J113" s="52">
        <f t="shared" si="43"/>
        <v>98</v>
      </c>
      <c r="K113" s="57">
        <f t="shared" ca="1" si="40"/>
        <v>0</v>
      </c>
      <c r="L113" s="58">
        <f t="shared" ca="1" si="32"/>
        <v>0</v>
      </c>
      <c r="M113" s="59">
        <f t="shared" ca="1" si="33"/>
        <v>0</v>
      </c>
      <c r="N113" s="57">
        <f t="shared" ca="1" si="34"/>
        <v>0</v>
      </c>
      <c r="O113" s="261">
        <f t="shared" ca="1" si="35"/>
        <v>0</v>
      </c>
      <c r="P113" s="261">
        <f t="shared" ca="1" si="36"/>
        <v>0</v>
      </c>
      <c r="Q113" s="261">
        <f t="shared" ca="1" si="37"/>
        <v>0</v>
      </c>
    </row>
    <row r="114" spans="1:17" ht="19.5" thickBot="1">
      <c r="A114" s="56">
        <v>103</v>
      </c>
      <c r="B114" s="57">
        <f t="shared" ca="1" si="41"/>
        <v>0</v>
      </c>
      <c r="C114" s="58">
        <f t="shared" ca="1" si="27"/>
        <v>0</v>
      </c>
      <c r="D114" s="59">
        <f t="shared" ca="1" si="31"/>
        <v>0</v>
      </c>
      <c r="E114" s="58">
        <f t="shared" ref="E114:E119" ca="1" si="50">IF(OR(C$6&gt;8.5,C114&lt;0.01),0,C$8-C114)</f>
        <v>0</v>
      </c>
      <c r="F114" s="59">
        <f t="shared" ca="1" si="49"/>
        <v>0</v>
      </c>
      <c r="G114" s="58">
        <f t="shared" ca="1" si="38"/>
        <v>0</v>
      </c>
      <c r="H114" s="56">
        <f t="shared" ca="1" si="39"/>
        <v>0</v>
      </c>
      <c r="J114" s="52">
        <f t="shared" si="43"/>
        <v>99</v>
      </c>
      <c r="K114" s="57">
        <f t="shared" ca="1" si="40"/>
        <v>0</v>
      </c>
      <c r="L114" s="58">
        <f t="shared" ca="1" si="32"/>
        <v>0</v>
      </c>
      <c r="M114" s="59">
        <f t="shared" ca="1" si="33"/>
        <v>0</v>
      </c>
      <c r="N114" s="57">
        <f t="shared" ca="1" si="34"/>
        <v>0</v>
      </c>
      <c r="O114" s="261">
        <f t="shared" ca="1" si="35"/>
        <v>0</v>
      </c>
      <c r="P114" s="261">
        <f t="shared" ca="1" si="36"/>
        <v>0</v>
      </c>
      <c r="Q114" s="261">
        <f t="shared" ca="1" si="37"/>
        <v>0</v>
      </c>
    </row>
    <row r="115" spans="1:17" ht="19.5" thickBot="1">
      <c r="A115" s="56">
        <v>104</v>
      </c>
      <c r="B115" s="57">
        <f t="shared" ca="1" si="41"/>
        <v>0</v>
      </c>
      <c r="C115" s="58">
        <f ca="1">B114*$D$4</f>
        <v>0</v>
      </c>
      <c r="D115" s="59">
        <f t="shared" ca="1" si="31"/>
        <v>0</v>
      </c>
      <c r="E115" s="58">
        <f t="shared" ca="1" si="50"/>
        <v>0</v>
      </c>
      <c r="F115" s="59">
        <f t="shared" ca="1" si="49"/>
        <v>0</v>
      </c>
      <c r="G115" s="58">
        <f t="shared" ca="1" si="38"/>
        <v>0</v>
      </c>
      <c r="H115" s="56">
        <f t="shared" ca="1" si="39"/>
        <v>0</v>
      </c>
      <c r="J115" s="52">
        <f t="shared" si="43"/>
        <v>100</v>
      </c>
      <c r="K115" s="57">
        <f t="shared" ca="1" si="40"/>
        <v>0</v>
      </c>
      <c r="L115" s="58">
        <f t="shared" ca="1" si="32"/>
        <v>0</v>
      </c>
      <c r="M115" s="59">
        <f t="shared" ca="1" si="33"/>
        <v>0</v>
      </c>
      <c r="N115" s="57">
        <f t="shared" ca="1" si="34"/>
        <v>0</v>
      </c>
      <c r="O115" s="261">
        <f t="shared" ca="1" si="35"/>
        <v>0</v>
      </c>
      <c r="P115" s="261">
        <f t="shared" ca="1" si="36"/>
        <v>0</v>
      </c>
      <c r="Q115" s="261">
        <f t="shared" ca="1" si="37"/>
        <v>0</v>
      </c>
    </row>
    <row r="116" spans="1:17" ht="19.5" thickBot="1">
      <c r="A116" s="56">
        <v>105</v>
      </c>
      <c r="B116" s="57">
        <f t="shared" ca="1" si="41"/>
        <v>0</v>
      </c>
      <c r="C116" s="58">
        <f t="shared" ca="1" si="27"/>
        <v>0</v>
      </c>
      <c r="D116" s="59">
        <f t="shared" ca="1" si="31"/>
        <v>0</v>
      </c>
      <c r="E116" s="58">
        <f t="shared" ca="1" si="50"/>
        <v>0</v>
      </c>
      <c r="F116" s="59">
        <f t="shared" ca="1" si="49"/>
        <v>0</v>
      </c>
      <c r="G116" s="58">
        <f t="shared" ca="1" si="38"/>
        <v>0</v>
      </c>
      <c r="H116" s="56">
        <f t="shared" ca="1" si="39"/>
        <v>0</v>
      </c>
      <c r="J116" s="52">
        <f t="shared" si="43"/>
        <v>101</v>
      </c>
      <c r="K116" s="57">
        <f t="shared" ca="1" si="40"/>
        <v>0</v>
      </c>
      <c r="L116" s="58">
        <f t="shared" ca="1" si="32"/>
        <v>0</v>
      </c>
      <c r="M116" s="59">
        <f t="shared" ca="1" si="33"/>
        <v>0</v>
      </c>
      <c r="N116" s="57">
        <f t="shared" ca="1" si="34"/>
        <v>0</v>
      </c>
      <c r="O116" s="261">
        <f t="shared" ca="1" si="35"/>
        <v>0</v>
      </c>
      <c r="P116" s="261">
        <f t="shared" ca="1" si="36"/>
        <v>0</v>
      </c>
      <c r="Q116" s="261">
        <f t="shared" ca="1" si="37"/>
        <v>0</v>
      </c>
    </row>
    <row r="117" spans="1:17" ht="19.5" thickBot="1">
      <c r="A117" s="56">
        <v>106</v>
      </c>
      <c r="B117" s="57">
        <f t="shared" ca="1" si="41"/>
        <v>0</v>
      </c>
      <c r="C117" s="58">
        <f t="shared" ca="1" si="27"/>
        <v>0</v>
      </c>
      <c r="D117" s="59">
        <f t="shared" ca="1" si="31"/>
        <v>0</v>
      </c>
      <c r="E117" s="58">
        <f t="shared" ca="1" si="50"/>
        <v>0</v>
      </c>
      <c r="F117" s="59">
        <f t="shared" ca="1" si="49"/>
        <v>0</v>
      </c>
      <c r="G117" s="58">
        <f t="shared" ca="1" si="38"/>
        <v>0</v>
      </c>
      <c r="H117" s="56">
        <f t="shared" ca="1" si="39"/>
        <v>0</v>
      </c>
      <c r="J117" s="52">
        <f t="shared" si="43"/>
        <v>102</v>
      </c>
      <c r="K117" s="57">
        <f t="shared" ca="1" si="40"/>
        <v>0</v>
      </c>
      <c r="L117" s="58">
        <f t="shared" ca="1" si="32"/>
        <v>0</v>
      </c>
      <c r="M117" s="59">
        <f t="shared" ca="1" si="33"/>
        <v>0</v>
      </c>
      <c r="N117" s="57">
        <f t="shared" ca="1" si="34"/>
        <v>0</v>
      </c>
      <c r="O117" s="261">
        <f t="shared" ca="1" si="35"/>
        <v>0</v>
      </c>
      <c r="P117" s="261">
        <f t="shared" ca="1" si="36"/>
        <v>0</v>
      </c>
      <c r="Q117" s="261">
        <f t="shared" ca="1" si="37"/>
        <v>0</v>
      </c>
    </row>
    <row r="118" spans="1:17" ht="19.5" thickBot="1">
      <c r="A118" s="56">
        <v>107</v>
      </c>
      <c r="B118" s="57">
        <f t="shared" ca="1" si="41"/>
        <v>0</v>
      </c>
      <c r="C118" s="58">
        <f ca="1">B117*$D$4</f>
        <v>0</v>
      </c>
      <c r="D118" s="59">
        <f t="shared" ca="1" si="31"/>
        <v>0</v>
      </c>
      <c r="E118" s="58">
        <f t="shared" ca="1" si="50"/>
        <v>0</v>
      </c>
      <c r="F118" s="59">
        <f t="shared" ca="1" si="49"/>
        <v>0</v>
      </c>
      <c r="G118" s="58">
        <f t="shared" ca="1" si="38"/>
        <v>0</v>
      </c>
      <c r="H118" s="56">
        <f t="shared" ca="1" si="39"/>
        <v>0</v>
      </c>
      <c r="J118" s="52">
        <f t="shared" si="43"/>
        <v>103</v>
      </c>
      <c r="K118" s="57">
        <f t="shared" ca="1" si="40"/>
        <v>0</v>
      </c>
      <c r="L118" s="58">
        <f t="shared" ca="1" si="32"/>
        <v>0</v>
      </c>
      <c r="M118" s="59">
        <f t="shared" ca="1" si="33"/>
        <v>0</v>
      </c>
      <c r="N118" s="57">
        <f t="shared" ca="1" si="34"/>
        <v>0</v>
      </c>
      <c r="O118" s="261">
        <f t="shared" ca="1" si="35"/>
        <v>0</v>
      </c>
      <c r="P118" s="261">
        <f t="shared" ca="1" si="36"/>
        <v>0</v>
      </c>
      <c r="Q118" s="261">
        <f t="shared" ca="1" si="37"/>
        <v>0</v>
      </c>
    </row>
    <row r="119" spans="1:17" ht="19.5" thickBot="1">
      <c r="A119" s="56">
        <v>108</v>
      </c>
      <c r="B119" s="57">
        <f t="shared" ca="1" si="41"/>
        <v>0</v>
      </c>
      <c r="C119" s="58">
        <f t="shared" ca="1" si="27"/>
        <v>0</v>
      </c>
      <c r="D119" s="59">
        <f t="shared" ca="1" si="31"/>
        <v>0</v>
      </c>
      <c r="E119" s="58">
        <f t="shared" ca="1" si="50"/>
        <v>0</v>
      </c>
      <c r="F119" s="59">
        <f t="shared" ca="1" si="49"/>
        <v>0</v>
      </c>
      <c r="G119" s="58">
        <f t="shared" ca="1" si="38"/>
        <v>0</v>
      </c>
      <c r="H119" s="56">
        <f t="shared" ca="1" si="39"/>
        <v>0</v>
      </c>
      <c r="J119" s="52">
        <f t="shared" si="43"/>
        <v>104</v>
      </c>
      <c r="K119" s="57">
        <f t="shared" ca="1" si="40"/>
        <v>0</v>
      </c>
      <c r="L119" s="58">
        <f t="shared" ca="1" si="32"/>
        <v>0</v>
      </c>
      <c r="M119" s="59">
        <f t="shared" ca="1" si="33"/>
        <v>0</v>
      </c>
      <c r="N119" s="57">
        <f t="shared" ca="1" si="34"/>
        <v>0</v>
      </c>
      <c r="O119" s="261">
        <f t="shared" ca="1" si="35"/>
        <v>0</v>
      </c>
      <c r="P119" s="261">
        <f t="shared" ca="1" si="36"/>
        <v>0</v>
      </c>
      <c r="Q119" s="261">
        <f t="shared" ca="1" si="37"/>
        <v>0</v>
      </c>
    </row>
    <row r="120" spans="1:17" ht="19.5" thickBot="1">
      <c r="A120" s="56">
        <v>109</v>
      </c>
      <c r="B120" s="57">
        <f t="shared" ca="1" si="41"/>
        <v>0</v>
      </c>
      <c r="C120" s="58">
        <f t="shared" ca="1" si="27"/>
        <v>0</v>
      </c>
      <c r="D120" s="59">
        <f t="shared" ca="1" si="31"/>
        <v>0</v>
      </c>
      <c r="E120" s="58">
        <f t="shared" ref="E120:E125" ca="1" si="51">IF(OR(C$6&gt;9,C120&lt;0.01),0,C$8-C120)</f>
        <v>0</v>
      </c>
      <c r="F120" s="59">
        <f t="shared" ca="1" si="49"/>
        <v>0</v>
      </c>
      <c r="G120" s="58">
        <f t="shared" ca="1" si="38"/>
        <v>0</v>
      </c>
      <c r="H120" s="56">
        <f t="shared" ca="1" si="39"/>
        <v>0</v>
      </c>
      <c r="J120" s="52">
        <f t="shared" si="43"/>
        <v>105</v>
      </c>
      <c r="K120" s="57">
        <f t="shared" ca="1" si="40"/>
        <v>0</v>
      </c>
      <c r="L120" s="58">
        <f t="shared" ca="1" si="32"/>
        <v>0</v>
      </c>
      <c r="M120" s="59">
        <f t="shared" ca="1" si="33"/>
        <v>0</v>
      </c>
      <c r="N120" s="57">
        <f t="shared" ca="1" si="34"/>
        <v>0</v>
      </c>
      <c r="O120" s="261">
        <f t="shared" ca="1" si="35"/>
        <v>0</v>
      </c>
      <c r="P120" s="261">
        <f t="shared" ca="1" si="36"/>
        <v>0</v>
      </c>
      <c r="Q120" s="261">
        <f t="shared" ca="1" si="37"/>
        <v>0</v>
      </c>
    </row>
    <row r="121" spans="1:17" ht="19.5" thickBot="1">
      <c r="A121" s="56">
        <v>110</v>
      </c>
      <c r="B121" s="57">
        <f t="shared" ca="1" si="41"/>
        <v>0</v>
      </c>
      <c r="C121" s="58">
        <f ca="1">B120*$D$4</f>
        <v>0</v>
      </c>
      <c r="D121" s="59">
        <f t="shared" ca="1" si="31"/>
        <v>0</v>
      </c>
      <c r="E121" s="58">
        <f t="shared" ca="1" si="51"/>
        <v>0</v>
      </c>
      <c r="F121" s="59">
        <f t="shared" ca="1" si="49"/>
        <v>0</v>
      </c>
      <c r="G121" s="58">
        <f t="shared" ca="1" si="38"/>
        <v>0</v>
      </c>
      <c r="H121" s="56">
        <f t="shared" ca="1" si="39"/>
        <v>0</v>
      </c>
      <c r="J121" s="52">
        <f t="shared" si="43"/>
        <v>106</v>
      </c>
      <c r="K121" s="57">
        <f t="shared" ca="1" si="40"/>
        <v>0</v>
      </c>
      <c r="L121" s="58">
        <f t="shared" ca="1" si="32"/>
        <v>0</v>
      </c>
      <c r="M121" s="59">
        <f t="shared" ca="1" si="33"/>
        <v>0</v>
      </c>
      <c r="N121" s="57">
        <f t="shared" ca="1" si="34"/>
        <v>0</v>
      </c>
      <c r="O121" s="261">
        <f t="shared" ca="1" si="35"/>
        <v>0</v>
      </c>
      <c r="P121" s="261">
        <f t="shared" ca="1" si="36"/>
        <v>0</v>
      </c>
      <c r="Q121" s="261">
        <f t="shared" ca="1" si="37"/>
        <v>0</v>
      </c>
    </row>
    <row r="122" spans="1:17" ht="19.5" thickBot="1">
      <c r="A122" s="56">
        <v>111</v>
      </c>
      <c r="B122" s="57">
        <f t="shared" ca="1" si="41"/>
        <v>0</v>
      </c>
      <c r="C122" s="58">
        <f t="shared" ca="1" si="27"/>
        <v>0</v>
      </c>
      <c r="D122" s="59">
        <f t="shared" ca="1" si="31"/>
        <v>0</v>
      </c>
      <c r="E122" s="58">
        <f t="shared" ca="1" si="51"/>
        <v>0</v>
      </c>
      <c r="F122" s="59">
        <f t="shared" ca="1" si="49"/>
        <v>0</v>
      </c>
      <c r="G122" s="58">
        <f t="shared" ca="1" si="38"/>
        <v>0</v>
      </c>
      <c r="H122" s="56">
        <f t="shared" ca="1" si="39"/>
        <v>0</v>
      </c>
      <c r="J122" s="52">
        <f t="shared" si="43"/>
        <v>107</v>
      </c>
      <c r="K122" s="57">
        <f t="shared" ca="1" si="40"/>
        <v>0</v>
      </c>
      <c r="L122" s="58">
        <f t="shared" ca="1" si="32"/>
        <v>0</v>
      </c>
      <c r="M122" s="59">
        <f t="shared" ca="1" si="33"/>
        <v>0</v>
      </c>
      <c r="N122" s="57">
        <f t="shared" ca="1" si="34"/>
        <v>0</v>
      </c>
      <c r="O122" s="261">
        <f t="shared" ca="1" si="35"/>
        <v>0</v>
      </c>
      <c r="P122" s="261">
        <f t="shared" ca="1" si="36"/>
        <v>0</v>
      </c>
      <c r="Q122" s="261">
        <f t="shared" ca="1" si="37"/>
        <v>0</v>
      </c>
    </row>
    <row r="123" spans="1:17" ht="19.5" thickBot="1">
      <c r="A123" s="56">
        <v>112</v>
      </c>
      <c r="B123" s="57">
        <f t="shared" ca="1" si="41"/>
        <v>0</v>
      </c>
      <c r="C123" s="58">
        <f ca="1">IF(+$D$7=4,0,B122*$D$4)</f>
        <v>0</v>
      </c>
      <c r="D123" s="59">
        <f t="shared" ca="1" si="31"/>
        <v>0</v>
      </c>
      <c r="E123" s="58">
        <f t="shared" ca="1" si="51"/>
        <v>0</v>
      </c>
      <c r="F123" s="59">
        <f t="shared" ca="1" si="49"/>
        <v>0</v>
      </c>
      <c r="G123" s="58">
        <f t="shared" ca="1" si="38"/>
        <v>0</v>
      </c>
      <c r="H123" s="56">
        <f t="shared" ca="1" si="39"/>
        <v>0</v>
      </c>
      <c r="J123" s="52">
        <f t="shared" si="43"/>
        <v>108</v>
      </c>
      <c r="K123" s="57">
        <f t="shared" ca="1" si="40"/>
        <v>0</v>
      </c>
      <c r="L123" s="58">
        <f t="shared" ca="1" si="32"/>
        <v>0</v>
      </c>
      <c r="M123" s="59">
        <f t="shared" ca="1" si="33"/>
        <v>0</v>
      </c>
      <c r="N123" s="57">
        <f t="shared" ca="1" si="34"/>
        <v>0</v>
      </c>
      <c r="O123" s="261">
        <f t="shared" ca="1" si="35"/>
        <v>0</v>
      </c>
      <c r="P123" s="261">
        <f t="shared" ca="1" si="36"/>
        <v>0</v>
      </c>
      <c r="Q123" s="261">
        <f t="shared" ca="1" si="37"/>
        <v>0</v>
      </c>
    </row>
    <row r="124" spans="1:17" ht="19.5" thickBot="1">
      <c r="A124" s="56">
        <v>113</v>
      </c>
      <c r="B124" s="57">
        <f t="shared" ca="1" si="41"/>
        <v>0</v>
      </c>
      <c r="C124" s="58">
        <f ca="1">B123*$D$4</f>
        <v>0</v>
      </c>
      <c r="D124" s="59">
        <f t="shared" ca="1" si="31"/>
        <v>0</v>
      </c>
      <c r="E124" s="58">
        <f t="shared" ca="1" si="51"/>
        <v>0</v>
      </c>
      <c r="F124" s="59">
        <f t="shared" ca="1" si="49"/>
        <v>0</v>
      </c>
      <c r="G124" s="58">
        <f t="shared" ca="1" si="38"/>
        <v>0</v>
      </c>
      <c r="H124" s="56">
        <f t="shared" ca="1" si="39"/>
        <v>0</v>
      </c>
      <c r="J124" s="52">
        <f t="shared" si="43"/>
        <v>109</v>
      </c>
      <c r="K124" s="57">
        <f t="shared" ca="1" si="40"/>
        <v>0</v>
      </c>
      <c r="L124" s="58">
        <f t="shared" ca="1" si="32"/>
        <v>0</v>
      </c>
      <c r="M124" s="59">
        <f t="shared" ca="1" si="33"/>
        <v>0</v>
      </c>
      <c r="N124" s="57">
        <f t="shared" ca="1" si="34"/>
        <v>0</v>
      </c>
      <c r="O124" s="261">
        <f t="shared" ca="1" si="35"/>
        <v>0</v>
      </c>
      <c r="P124" s="261">
        <f t="shared" ca="1" si="36"/>
        <v>0</v>
      </c>
      <c r="Q124" s="261">
        <f t="shared" ca="1" si="37"/>
        <v>0</v>
      </c>
    </row>
    <row r="125" spans="1:17" ht="19.5" thickBot="1">
      <c r="A125" s="56">
        <v>114</v>
      </c>
      <c r="B125" s="57">
        <f t="shared" ca="1" si="41"/>
        <v>0</v>
      </c>
      <c r="C125" s="58">
        <f ca="1">IF(+$D$7=4,0,B124*$D$4)</f>
        <v>0</v>
      </c>
      <c r="D125" s="59">
        <f t="shared" ca="1" si="31"/>
        <v>0</v>
      </c>
      <c r="E125" s="58">
        <f t="shared" ca="1" si="51"/>
        <v>0</v>
      </c>
      <c r="F125" s="59">
        <f t="shared" ca="1" si="49"/>
        <v>0</v>
      </c>
      <c r="G125" s="58">
        <f t="shared" ca="1" si="38"/>
        <v>0</v>
      </c>
      <c r="H125" s="56">
        <f t="shared" ca="1" si="39"/>
        <v>0</v>
      </c>
      <c r="J125" s="52">
        <f t="shared" si="43"/>
        <v>110</v>
      </c>
      <c r="K125" s="57">
        <f t="shared" ca="1" si="40"/>
        <v>0</v>
      </c>
      <c r="L125" s="58">
        <f t="shared" ca="1" si="32"/>
        <v>0</v>
      </c>
      <c r="M125" s="59">
        <f t="shared" ca="1" si="33"/>
        <v>0</v>
      </c>
      <c r="N125" s="57">
        <f t="shared" ca="1" si="34"/>
        <v>0</v>
      </c>
      <c r="O125" s="261">
        <f t="shared" ca="1" si="35"/>
        <v>0</v>
      </c>
      <c r="P125" s="261">
        <f t="shared" ca="1" si="36"/>
        <v>0</v>
      </c>
      <c r="Q125" s="261">
        <f t="shared" ca="1" si="37"/>
        <v>0</v>
      </c>
    </row>
    <row r="126" spans="1:17" ht="19.5" thickBot="1">
      <c r="A126" s="56">
        <v>115</v>
      </c>
      <c r="B126" s="57">
        <f t="shared" ca="1" si="41"/>
        <v>0</v>
      </c>
      <c r="C126" s="58">
        <f ca="1">IF(+$D$7=4,0,B125*$D$4)</f>
        <v>0</v>
      </c>
      <c r="D126" s="59">
        <f t="shared" ca="1" si="31"/>
        <v>0</v>
      </c>
      <c r="E126" s="58">
        <f t="shared" ref="E126:E131" ca="1" si="52">IF(OR(C$6&gt;9.5,C126&lt;0.01),0,C$8-C126)</f>
        <v>0</v>
      </c>
      <c r="F126" s="59">
        <f t="shared" ca="1" si="49"/>
        <v>0</v>
      </c>
      <c r="G126" s="58">
        <f t="shared" ca="1" si="38"/>
        <v>0</v>
      </c>
      <c r="H126" s="56">
        <f t="shared" ca="1" si="39"/>
        <v>0</v>
      </c>
      <c r="J126" s="52">
        <f t="shared" si="43"/>
        <v>111</v>
      </c>
      <c r="K126" s="57">
        <f t="shared" ca="1" si="40"/>
        <v>0</v>
      </c>
      <c r="L126" s="58">
        <f t="shared" ca="1" si="32"/>
        <v>0</v>
      </c>
      <c r="M126" s="59">
        <f t="shared" ca="1" si="33"/>
        <v>0</v>
      </c>
      <c r="N126" s="57">
        <f t="shared" ca="1" si="34"/>
        <v>0</v>
      </c>
      <c r="O126" s="261">
        <f t="shared" ca="1" si="35"/>
        <v>0</v>
      </c>
      <c r="P126" s="261">
        <f t="shared" ca="1" si="36"/>
        <v>0</v>
      </c>
      <c r="Q126" s="261">
        <f t="shared" ca="1" si="37"/>
        <v>0</v>
      </c>
    </row>
    <row r="127" spans="1:17" ht="19.5" thickBot="1">
      <c r="A127" s="56">
        <v>116</v>
      </c>
      <c r="B127" s="57">
        <f t="shared" ca="1" si="41"/>
        <v>0</v>
      </c>
      <c r="C127" s="58">
        <f ca="1">B126*$D$4</f>
        <v>0</v>
      </c>
      <c r="D127" s="59">
        <f t="shared" ca="1" si="31"/>
        <v>0</v>
      </c>
      <c r="E127" s="58">
        <f t="shared" ca="1" si="52"/>
        <v>0</v>
      </c>
      <c r="F127" s="59">
        <f t="shared" ca="1" si="49"/>
        <v>0</v>
      </c>
      <c r="G127" s="58">
        <f t="shared" ca="1" si="38"/>
        <v>0</v>
      </c>
      <c r="H127" s="56">
        <f t="shared" ca="1" si="39"/>
        <v>0</v>
      </c>
      <c r="J127" s="52">
        <f t="shared" si="43"/>
        <v>112</v>
      </c>
      <c r="K127" s="57">
        <f t="shared" ca="1" si="40"/>
        <v>0</v>
      </c>
      <c r="L127" s="58">
        <f t="shared" ca="1" si="32"/>
        <v>0</v>
      </c>
      <c r="M127" s="59">
        <f t="shared" ca="1" si="33"/>
        <v>0</v>
      </c>
      <c r="N127" s="57">
        <f t="shared" ca="1" si="34"/>
        <v>0</v>
      </c>
      <c r="O127" s="261">
        <f t="shared" ca="1" si="35"/>
        <v>0</v>
      </c>
      <c r="P127" s="261">
        <f t="shared" ca="1" si="36"/>
        <v>0</v>
      </c>
      <c r="Q127" s="261">
        <f t="shared" ca="1" si="37"/>
        <v>0</v>
      </c>
    </row>
    <row r="128" spans="1:17" ht="19.5" thickBot="1">
      <c r="A128" s="56">
        <v>117</v>
      </c>
      <c r="B128" s="57">
        <f t="shared" ca="1" si="41"/>
        <v>0</v>
      </c>
      <c r="C128" s="58">
        <f ca="1">IF(+$D$7=4,0,B127*$D$4)</f>
        <v>0</v>
      </c>
      <c r="D128" s="59">
        <f t="shared" ca="1" si="31"/>
        <v>0</v>
      </c>
      <c r="E128" s="58">
        <f t="shared" ca="1" si="52"/>
        <v>0</v>
      </c>
      <c r="F128" s="59">
        <f t="shared" ca="1" si="49"/>
        <v>0</v>
      </c>
      <c r="G128" s="58">
        <f t="shared" ca="1" si="38"/>
        <v>0</v>
      </c>
      <c r="H128" s="56">
        <f t="shared" ca="1" si="39"/>
        <v>0</v>
      </c>
      <c r="J128" s="52">
        <f t="shared" si="43"/>
        <v>113</v>
      </c>
      <c r="K128" s="57">
        <f t="shared" ca="1" si="40"/>
        <v>0</v>
      </c>
      <c r="L128" s="58">
        <f t="shared" ca="1" si="32"/>
        <v>0</v>
      </c>
      <c r="M128" s="59">
        <f t="shared" ca="1" si="33"/>
        <v>0</v>
      </c>
      <c r="N128" s="57">
        <f t="shared" ca="1" si="34"/>
        <v>0</v>
      </c>
      <c r="O128" s="261">
        <f t="shared" ca="1" si="35"/>
        <v>0</v>
      </c>
      <c r="P128" s="261">
        <f t="shared" ca="1" si="36"/>
        <v>0</v>
      </c>
      <c r="Q128" s="261">
        <f t="shared" ca="1" si="37"/>
        <v>0</v>
      </c>
    </row>
    <row r="129" spans="1:17" ht="19.5" thickBot="1">
      <c r="A129" s="56">
        <v>118</v>
      </c>
      <c r="B129" s="57">
        <f t="shared" ca="1" si="41"/>
        <v>0</v>
      </c>
      <c r="C129" s="58">
        <f ca="1">IF(+$D$7=4,0,B128*$D$4)</f>
        <v>0</v>
      </c>
      <c r="D129" s="59">
        <f t="shared" ca="1" si="31"/>
        <v>0</v>
      </c>
      <c r="E129" s="58">
        <f t="shared" ca="1" si="52"/>
        <v>0</v>
      </c>
      <c r="F129" s="59">
        <f t="shared" ca="1" si="49"/>
        <v>0</v>
      </c>
      <c r="G129" s="58">
        <f t="shared" ca="1" si="38"/>
        <v>0</v>
      </c>
      <c r="H129" s="56">
        <f t="shared" ca="1" si="39"/>
        <v>0</v>
      </c>
      <c r="J129" s="52">
        <f t="shared" si="43"/>
        <v>114</v>
      </c>
      <c r="K129" s="57">
        <f t="shared" ca="1" si="40"/>
        <v>0</v>
      </c>
      <c r="L129" s="58">
        <f t="shared" ca="1" si="32"/>
        <v>0</v>
      </c>
      <c r="M129" s="59">
        <f t="shared" ca="1" si="33"/>
        <v>0</v>
      </c>
      <c r="N129" s="57">
        <f t="shared" ca="1" si="34"/>
        <v>0</v>
      </c>
      <c r="O129" s="261">
        <f t="shared" ca="1" si="35"/>
        <v>0</v>
      </c>
      <c r="P129" s="261">
        <f t="shared" ca="1" si="36"/>
        <v>0</v>
      </c>
      <c r="Q129" s="261">
        <f t="shared" ca="1" si="37"/>
        <v>0</v>
      </c>
    </row>
    <row r="130" spans="1:17" ht="19.5" thickBot="1">
      <c r="A130" s="56">
        <v>119</v>
      </c>
      <c r="B130" s="57">
        <f t="shared" ca="1" si="41"/>
        <v>0</v>
      </c>
      <c r="C130" s="58">
        <f ca="1">B129*$D$4</f>
        <v>0</v>
      </c>
      <c r="D130" s="59">
        <f t="shared" ca="1" si="31"/>
        <v>0</v>
      </c>
      <c r="E130" s="58">
        <f t="shared" ca="1" si="52"/>
        <v>0</v>
      </c>
      <c r="F130" s="59">
        <f t="shared" ca="1" si="49"/>
        <v>0</v>
      </c>
      <c r="G130" s="58">
        <f t="shared" ca="1" si="38"/>
        <v>0</v>
      </c>
      <c r="H130" s="56">
        <f t="shared" ca="1" si="39"/>
        <v>0</v>
      </c>
      <c r="J130" s="52">
        <f t="shared" si="43"/>
        <v>115</v>
      </c>
      <c r="K130" s="57">
        <f t="shared" ca="1" si="40"/>
        <v>0</v>
      </c>
      <c r="L130" s="58">
        <f t="shared" ca="1" si="32"/>
        <v>0</v>
      </c>
      <c r="M130" s="59">
        <f t="shared" ca="1" si="33"/>
        <v>0</v>
      </c>
      <c r="N130" s="57">
        <f t="shared" ca="1" si="34"/>
        <v>0</v>
      </c>
      <c r="O130" s="261">
        <f t="shared" ca="1" si="35"/>
        <v>0</v>
      </c>
      <c r="P130" s="261">
        <f t="shared" ca="1" si="36"/>
        <v>0</v>
      </c>
      <c r="Q130" s="261">
        <f t="shared" ca="1" si="37"/>
        <v>0</v>
      </c>
    </row>
    <row r="131" spans="1:17" ht="19.5" thickBot="1">
      <c r="A131" s="56">
        <v>120</v>
      </c>
      <c r="B131" s="57">
        <f t="shared" ca="1" si="41"/>
        <v>0</v>
      </c>
      <c r="C131" s="58">
        <f ca="1">IF(+$D$7=4,0,B130*$D$4)</f>
        <v>0</v>
      </c>
      <c r="D131" s="59">
        <f t="shared" ca="1" si="31"/>
        <v>0</v>
      </c>
      <c r="E131" s="58">
        <f t="shared" ca="1" si="52"/>
        <v>0</v>
      </c>
      <c r="F131" s="59">
        <f t="shared" ca="1" si="49"/>
        <v>0</v>
      </c>
      <c r="G131" s="58">
        <f t="shared" ca="1" si="38"/>
        <v>0</v>
      </c>
      <c r="H131" s="56">
        <f t="shared" ca="1" si="39"/>
        <v>0</v>
      </c>
      <c r="J131" s="52">
        <f t="shared" si="43"/>
        <v>116</v>
      </c>
      <c r="K131" s="57">
        <f t="shared" ca="1" si="40"/>
        <v>0</v>
      </c>
      <c r="L131" s="58">
        <f t="shared" ca="1" si="32"/>
        <v>0</v>
      </c>
      <c r="M131" s="59">
        <f t="shared" ca="1" si="33"/>
        <v>0</v>
      </c>
      <c r="N131" s="57">
        <f t="shared" ca="1" si="34"/>
        <v>0</v>
      </c>
      <c r="O131" s="261">
        <f t="shared" ca="1" si="35"/>
        <v>0</v>
      </c>
      <c r="P131" s="261">
        <f t="shared" ca="1" si="36"/>
        <v>0</v>
      </c>
      <c r="Q131" s="261">
        <f t="shared" ca="1" si="37"/>
        <v>0</v>
      </c>
    </row>
    <row r="132" spans="1:17" ht="19.5" thickBot="1">
      <c r="A132" s="56">
        <v>121</v>
      </c>
      <c r="B132" s="57">
        <f t="shared" ca="1" si="41"/>
        <v>0</v>
      </c>
      <c r="C132" s="58">
        <f ca="1">IF(+$D$7=4,0,B131*$D$4)</f>
        <v>0</v>
      </c>
      <c r="D132" s="59">
        <f t="shared" ca="1" si="31"/>
        <v>0</v>
      </c>
      <c r="E132" s="58">
        <f ca="1">IF(OR(C$6&gt;0,C132&lt;0.01),0,C$8-C132)</f>
        <v>0</v>
      </c>
      <c r="F132" s="59">
        <f t="shared" ca="1" si="49"/>
        <v>0</v>
      </c>
      <c r="G132" s="58">
        <f t="shared" ca="1" si="38"/>
        <v>0</v>
      </c>
      <c r="H132" s="56">
        <f t="shared" ca="1" si="39"/>
        <v>0</v>
      </c>
      <c r="J132" s="52">
        <f t="shared" si="43"/>
        <v>117</v>
      </c>
      <c r="K132" s="57">
        <f t="shared" ca="1" si="40"/>
        <v>0</v>
      </c>
      <c r="L132" s="58">
        <f t="shared" ca="1" si="32"/>
        <v>0</v>
      </c>
      <c r="M132" s="59">
        <f t="shared" ca="1" si="33"/>
        <v>0</v>
      </c>
      <c r="N132" s="57">
        <f t="shared" ca="1" si="34"/>
        <v>0</v>
      </c>
      <c r="O132" s="261">
        <f t="shared" ca="1" si="35"/>
        <v>0</v>
      </c>
      <c r="P132" s="261">
        <f t="shared" ca="1" si="36"/>
        <v>0</v>
      </c>
      <c r="Q132" s="261">
        <f t="shared" ca="1" si="37"/>
        <v>0</v>
      </c>
    </row>
    <row r="133" spans="1:17" ht="19.5" thickBot="1">
      <c r="A133" s="56">
        <v>122</v>
      </c>
      <c r="B133" s="57">
        <f t="shared" ca="1" si="41"/>
        <v>0</v>
      </c>
      <c r="C133" s="58">
        <f ca="1">B132*$D$4</f>
        <v>0</v>
      </c>
      <c r="D133" s="59">
        <f t="shared" ca="1" si="31"/>
        <v>0</v>
      </c>
      <c r="E133" s="58">
        <f t="shared" ref="E133:E138" ca="1" si="53">IF(OR(C$6&gt;10,C133&lt;0.01),0,C$8-C133)</f>
        <v>0</v>
      </c>
      <c r="F133" s="59">
        <f t="shared" ca="1" si="49"/>
        <v>0</v>
      </c>
      <c r="G133" s="58">
        <f t="shared" ca="1" si="38"/>
        <v>0</v>
      </c>
      <c r="H133" s="56">
        <f t="shared" ca="1" si="39"/>
        <v>0</v>
      </c>
      <c r="J133" s="52">
        <f t="shared" si="43"/>
        <v>118</v>
      </c>
      <c r="K133" s="57">
        <f t="shared" ca="1" si="40"/>
        <v>0</v>
      </c>
      <c r="L133" s="58">
        <f t="shared" ca="1" si="32"/>
        <v>0</v>
      </c>
      <c r="M133" s="59">
        <f t="shared" ca="1" si="33"/>
        <v>0</v>
      </c>
      <c r="N133" s="57">
        <f t="shared" ca="1" si="34"/>
        <v>0</v>
      </c>
      <c r="O133" s="261">
        <f t="shared" ca="1" si="35"/>
        <v>0</v>
      </c>
      <c r="P133" s="261">
        <f t="shared" ca="1" si="36"/>
        <v>0</v>
      </c>
      <c r="Q133" s="261">
        <f t="shared" ca="1" si="37"/>
        <v>0</v>
      </c>
    </row>
    <row r="134" spans="1:17" ht="19.5" thickBot="1">
      <c r="A134" s="56">
        <v>123</v>
      </c>
      <c r="B134" s="57">
        <f t="shared" ca="1" si="41"/>
        <v>0</v>
      </c>
      <c r="C134" s="58">
        <f ca="1">IF(+$D$7=4,0,B133*$D$4)</f>
        <v>0</v>
      </c>
      <c r="D134" s="59">
        <f t="shared" ca="1" si="31"/>
        <v>0</v>
      </c>
      <c r="E134" s="58">
        <f t="shared" ca="1" si="53"/>
        <v>0</v>
      </c>
      <c r="F134" s="59">
        <f t="shared" ca="1" si="49"/>
        <v>0</v>
      </c>
      <c r="G134" s="58">
        <f t="shared" ca="1" si="38"/>
        <v>0</v>
      </c>
      <c r="H134" s="56">
        <f t="shared" ca="1" si="39"/>
        <v>0</v>
      </c>
      <c r="J134" s="52">
        <f t="shared" si="43"/>
        <v>119</v>
      </c>
      <c r="K134" s="57">
        <f t="shared" ca="1" si="40"/>
        <v>0</v>
      </c>
      <c r="L134" s="58">
        <f t="shared" ca="1" si="32"/>
        <v>0</v>
      </c>
      <c r="M134" s="59">
        <f t="shared" ca="1" si="33"/>
        <v>0</v>
      </c>
      <c r="N134" s="57">
        <f t="shared" ca="1" si="34"/>
        <v>0</v>
      </c>
      <c r="O134" s="261">
        <f t="shared" ca="1" si="35"/>
        <v>0</v>
      </c>
      <c r="P134" s="261">
        <f t="shared" ca="1" si="36"/>
        <v>0</v>
      </c>
      <c r="Q134" s="261">
        <f t="shared" ca="1" si="37"/>
        <v>0</v>
      </c>
    </row>
    <row r="135" spans="1:17" ht="19.5" thickBot="1">
      <c r="A135" s="56">
        <v>124</v>
      </c>
      <c r="B135" s="57">
        <f t="shared" ca="1" si="41"/>
        <v>0</v>
      </c>
      <c r="C135" s="58">
        <f ca="1">IF(+$D$7=4,0,B134*$D$4)</f>
        <v>0</v>
      </c>
      <c r="D135" s="59">
        <f t="shared" ca="1" si="31"/>
        <v>0</v>
      </c>
      <c r="E135" s="58">
        <f t="shared" ca="1" si="53"/>
        <v>0</v>
      </c>
      <c r="F135" s="59">
        <f t="shared" ca="1" si="49"/>
        <v>0</v>
      </c>
      <c r="G135" s="58">
        <f t="shared" ca="1" si="38"/>
        <v>0</v>
      </c>
      <c r="H135" s="56">
        <f t="shared" ca="1" si="39"/>
        <v>0</v>
      </c>
      <c r="J135" s="52">
        <f t="shared" si="43"/>
        <v>120</v>
      </c>
      <c r="K135" s="57">
        <f t="shared" ca="1" si="40"/>
        <v>0</v>
      </c>
      <c r="L135" s="58">
        <f t="shared" ca="1" si="32"/>
        <v>0</v>
      </c>
      <c r="M135" s="59">
        <f t="shared" ca="1" si="33"/>
        <v>0</v>
      </c>
      <c r="N135" s="57">
        <f t="shared" ca="1" si="34"/>
        <v>0</v>
      </c>
      <c r="O135" s="261">
        <f t="shared" ca="1" si="35"/>
        <v>0</v>
      </c>
      <c r="P135" s="261">
        <f t="shared" ca="1" si="36"/>
        <v>0</v>
      </c>
      <c r="Q135" s="261">
        <f t="shared" ca="1" si="37"/>
        <v>0</v>
      </c>
    </row>
    <row r="136" spans="1:17" ht="19.5" thickBot="1">
      <c r="A136" s="56">
        <v>125</v>
      </c>
      <c r="B136" s="57">
        <f t="shared" ca="1" si="41"/>
        <v>0</v>
      </c>
      <c r="C136" s="58">
        <f ca="1">B135*$D$4</f>
        <v>0</v>
      </c>
      <c r="D136" s="59">
        <f t="shared" ca="1" si="31"/>
        <v>0</v>
      </c>
      <c r="E136" s="58">
        <f t="shared" ca="1" si="53"/>
        <v>0</v>
      </c>
      <c r="F136" s="59">
        <f t="shared" ca="1" si="49"/>
        <v>0</v>
      </c>
      <c r="G136" s="58">
        <f t="shared" ca="1" si="38"/>
        <v>0</v>
      </c>
      <c r="H136" s="56">
        <f t="shared" ca="1" si="39"/>
        <v>0</v>
      </c>
      <c r="J136" s="52">
        <f t="shared" si="43"/>
        <v>121</v>
      </c>
      <c r="K136" s="57">
        <f t="shared" ca="1" si="40"/>
        <v>0</v>
      </c>
      <c r="L136" s="58">
        <f t="shared" ca="1" si="32"/>
        <v>0</v>
      </c>
      <c r="M136" s="59">
        <f t="shared" ca="1" si="33"/>
        <v>0</v>
      </c>
      <c r="N136" s="57">
        <f t="shared" ca="1" si="34"/>
        <v>0</v>
      </c>
      <c r="O136" s="261">
        <f t="shared" ca="1" si="35"/>
        <v>0</v>
      </c>
      <c r="P136" s="261">
        <f t="shared" ca="1" si="36"/>
        <v>0</v>
      </c>
      <c r="Q136" s="261">
        <f t="shared" ca="1" si="37"/>
        <v>0</v>
      </c>
    </row>
    <row r="137" spans="1:17" ht="19.5" thickBot="1">
      <c r="A137" s="56">
        <v>126</v>
      </c>
      <c r="B137" s="57">
        <f t="shared" ca="1" si="41"/>
        <v>0</v>
      </c>
      <c r="C137" s="58">
        <f ca="1">IF(+$D$7=4,0,B136*$D$4)</f>
        <v>0</v>
      </c>
      <c r="D137" s="59">
        <f t="shared" ca="1" si="31"/>
        <v>0</v>
      </c>
      <c r="E137" s="58">
        <f t="shared" ca="1" si="53"/>
        <v>0</v>
      </c>
      <c r="F137" s="59">
        <f t="shared" ca="1" si="49"/>
        <v>0</v>
      </c>
      <c r="G137" s="58">
        <f t="shared" ca="1" si="38"/>
        <v>0</v>
      </c>
      <c r="H137" s="56">
        <f t="shared" ca="1" si="39"/>
        <v>0</v>
      </c>
      <c r="J137" s="52">
        <f t="shared" si="43"/>
        <v>122</v>
      </c>
      <c r="K137" s="57">
        <f t="shared" ca="1" si="40"/>
        <v>0</v>
      </c>
      <c r="L137" s="58">
        <f t="shared" ca="1" si="32"/>
        <v>0</v>
      </c>
      <c r="M137" s="59">
        <f t="shared" ca="1" si="33"/>
        <v>0</v>
      </c>
      <c r="N137" s="57">
        <f t="shared" ca="1" si="34"/>
        <v>0</v>
      </c>
      <c r="O137" s="261">
        <f t="shared" ca="1" si="35"/>
        <v>0</v>
      </c>
      <c r="P137" s="261">
        <f t="shared" ca="1" si="36"/>
        <v>0</v>
      </c>
      <c r="Q137" s="261">
        <f t="shared" ca="1" si="37"/>
        <v>0</v>
      </c>
    </row>
    <row r="138" spans="1:17" ht="19.5" thickBot="1">
      <c r="A138" s="56">
        <v>127</v>
      </c>
      <c r="B138" s="57">
        <f t="shared" ca="1" si="41"/>
        <v>0</v>
      </c>
      <c r="C138" s="58">
        <f ca="1">IF(+$D$7=4,0,B137*$D$4)</f>
        <v>0</v>
      </c>
      <c r="D138" s="59">
        <f t="shared" ca="1" si="31"/>
        <v>0</v>
      </c>
      <c r="E138" s="58">
        <f t="shared" ca="1" si="53"/>
        <v>0</v>
      </c>
      <c r="F138" s="59">
        <f t="shared" ca="1" si="49"/>
        <v>0</v>
      </c>
      <c r="G138" s="58">
        <f t="shared" ca="1" si="38"/>
        <v>0</v>
      </c>
      <c r="H138" s="56">
        <f t="shared" ca="1" si="39"/>
        <v>0</v>
      </c>
      <c r="J138" s="52">
        <f t="shared" si="43"/>
        <v>123</v>
      </c>
      <c r="K138" s="57">
        <f t="shared" ca="1" si="40"/>
        <v>0</v>
      </c>
      <c r="L138" s="58">
        <f t="shared" ca="1" si="32"/>
        <v>0</v>
      </c>
      <c r="M138" s="59">
        <f t="shared" ca="1" si="33"/>
        <v>0</v>
      </c>
      <c r="N138" s="57">
        <f t="shared" ca="1" si="34"/>
        <v>0</v>
      </c>
      <c r="O138" s="261">
        <f t="shared" ca="1" si="35"/>
        <v>0</v>
      </c>
      <c r="P138" s="261">
        <f t="shared" ca="1" si="36"/>
        <v>0</v>
      </c>
      <c r="Q138" s="261">
        <f t="shared" ca="1" si="37"/>
        <v>0</v>
      </c>
    </row>
    <row r="139" spans="1:17" ht="19.5" thickBot="1">
      <c r="A139" s="56">
        <v>128</v>
      </c>
      <c r="B139" s="57">
        <f t="shared" ca="1" si="41"/>
        <v>0</v>
      </c>
      <c r="C139" s="58">
        <f ca="1">B138*$D$4</f>
        <v>0</v>
      </c>
      <c r="D139" s="59">
        <f t="shared" ca="1" si="31"/>
        <v>0</v>
      </c>
      <c r="E139" s="58">
        <f t="shared" ref="E139:E144" ca="1" si="54">IF(OR(C$6&gt;10.5,C139&lt;0.01),0,C$8-C139)</f>
        <v>0</v>
      </c>
      <c r="F139" s="59">
        <f t="shared" ca="1" si="49"/>
        <v>0</v>
      </c>
      <c r="G139" s="58">
        <f t="shared" ca="1" si="38"/>
        <v>0</v>
      </c>
      <c r="H139" s="56">
        <f t="shared" ca="1" si="39"/>
        <v>0</v>
      </c>
      <c r="J139" s="52">
        <f t="shared" si="43"/>
        <v>124</v>
      </c>
      <c r="K139" s="57">
        <f t="shared" ca="1" si="40"/>
        <v>0</v>
      </c>
      <c r="L139" s="58">
        <f t="shared" ca="1" si="32"/>
        <v>0</v>
      </c>
      <c r="M139" s="59">
        <f t="shared" ca="1" si="33"/>
        <v>0</v>
      </c>
      <c r="N139" s="57">
        <f t="shared" ca="1" si="34"/>
        <v>0</v>
      </c>
      <c r="O139" s="261">
        <f t="shared" ca="1" si="35"/>
        <v>0</v>
      </c>
      <c r="P139" s="261">
        <f t="shared" ca="1" si="36"/>
        <v>0</v>
      </c>
      <c r="Q139" s="261">
        <f t="shared" ca="1" si="37"/>
        <v>0</v>
      </c>
    </row>
    <row r="140" spans="1:17" ht="19.5" thickBot="1">
      <c r="A140" s="56">
        <v>129</v>
      </c>
      <c r="B140" s="57">
        <f t="shared" ca="1" si="41"/>
        <v>0</v>
      </c>
      <c r="C140" s="58">
        <f ca="1">IF(+$D$7=4,0,B139*$D$4)</f>
        <v>0</v>
      </c>
      <c r="D140" s="59">
        <f t="shared" ref="D140:D187" ca="1" si="55">IF(B140=0,0,D139+C140)</f>
        <v>0</v>
      </c>
      <c r="E140" s="58">
        <f t="shared" ca="1" si="54"/>
        <v>0</v>
      </c>
      <c r="F140" s="59">
        <f t="shared" ca="1" si="49"/>
        <v>0</v>
      </c>
      <c r="G140" s="58">
        <f t="shared" ca="1" si="38"/>
        <v>0</v>
      </c>
      <c r="H140" s="56">
        <f t="shared" ca="1" si="39"/>
        <v>0</v>
      </c>
      <c r="J140" s="52">
        <f t="shared" si="43"/>
        <v>125</v>
      </c>
      <c r="K140" s="57">
        <f t="shared" ca="1" si="40"/>
        <v>0</v>
      </c>
      <c r="L140" s="58">
        <f t="shared" ref="L140:L191" ca="1" si="56">VLOOKUP($J140,$A$11:$H$191,3,0)</f>
        <v>0</v>
      </c>
      <c r="M140" s="59">
        <f t="shared" ref="M140:M191" ca="1" si="57">VLOOKUP($J140,$A$11:$H$191,4,0)</f>
        <v>0</v>
      </c>
      <c r="N140" s="57">
        <f t="shared" ref="N140:N191" ca="1" si="58">VLOOKUP($J140,$A$11:$H$191,5,0)</f>
        <v>0</v>
      </c>
      <c r="O140" s="261">
        <f t="shared" ref="O140:O191" ca="1" si="59">VLOOKUP($J140,$A$11:$H$191,6,0)</f>
        <v>0</v>
      </c>
      <c r="P140" s="261">
        <f t="shared" ref="P140:P191" ca="1" si="60">VLOOKUP($J140,$A$11:$H$191,7,0)</f>
        <v>0</v>
      </c>
      <c r="Q140" s="261">
        <f t="shared" ref="Q140:Q191" ca="1" si="61">VLOOKUP($J140,$A$11:$H$191,8,0)</f>
        <v>0</v>
      </c>
    </row>
    <row r="141" spans="1:17" ht="19.5" thickBot="1">
      <c r="A141" s="56">
        <v>130</v>
      </c>
      <c r="B141" s="57">
        <f t="shared" ca="1" si="41"/>
        <v>0</v>
      </c>
      <c r="C141" s="58">
        <f ca="1">IF(+$D$7=4,0,B140*$D$4)</f>
        <v>0</v>
      </c>
      <c r="D141" s="59">
        <f t="shared" ca="1" si="55"/>
        <v>0</v>
      </c>
      <c r="E141" s="58">
        <f t="shared" ca="1" si="54"/>
        <v>0</v>
      </c>
      <c r="F141" s="59">
        <f t="shared" ca="1" si="49"/>
        <v>0</v>
      </c>
      <c r="G141" s="58">
        <f t="shared" ref="G141:G190" ca="1" si="62">C$8*H141</f>
        <v>0</v>
      </c>
      <c r="H141" s="56">
        <f t="shared" ref="H141:H191" ca="1" si="63">IF(E141=0,0,A141-D$6)</f>
        <v>0</v>
      </c>
      <c r="J141" s="52">
        <f t="shared" si="43"/>
        <v>126</v>
      </c>
      <c r="K141" s="57">
        <f t="shared" ref="K141:K191" ca="1" si="64">VLOOKUP(J141,$A$11:$H$191,2,0)</f>
        <v>0</v>
      </c>
      <c r="L141" s="58">
        <f t="shared" ca="1" si="56"/>
        <v>0</v>
      </c>
      <c r="M141" s="59">
        <f t="shared" ca="1" si="57"/>
        <v>0</v>
      </c>
      <c r="N141" s="57">
        <f t="shared" ca="1" si="58"/>
        <v>0</v>
      </c>
      <c r="O141" s="261">
        <f t="shared" ca="1" si="59"/>
        <v>0</v>
      </c>
      <c r="P141" s="261">
        <f t="shared" ca="1" si="60"/>
        <v>0</v>
      </c>
      <c r="Q141" s="261">
        <f t="shared" ca="1" si="61"/>
        <v>0</v>
      </c>
    </row>
    <row r="142" spans="1:17" ht="19.5" thickBot="1">
      <c r="A142" s="56">
        <v>131</v>
      </c>
      <c r="B142" s="57">
        <f t="shared" ref="B142:B187" ca="1" si="65">IF(B141&lt;1,0,B141-E142)</f>
        <v>0</v>
      </c>
      <c r="C142" s="58">
        <f ca="1">B141*$D$4</f>
        <v>0</v>
      </c>
      <c r="D142" s="59">
        <f t="shared" ca="1" si="55"/>
        <v>0</v>
      </c>
      <c r="E142" s="58">
        <f t="shared" ca="1" si="54"/>
        <v>0</v>
      </c>
      <c r="F142" s="59">
        <f t="shared" ca="1" si="49"/>
        <v>0</v>
      </c>
      <c r="G142" s="58">
        <f t="shared" ca="1" si="62"/>
        <v>0</v>
      </c>
      <c r="H142" s="56">
        <f t="shared" ca="1" si="63"/>
        <v>0</v>
      </c>
      <c r="J142" s="52">
        <f t="shared" si="43"/>
        <v>127</v>
      </c>
      <c r="K142" s="57">
        <f t="shared" ca="1" si="64"/>
        <v>0</v>
      </c>
      <c r="L142" s="58">
        <f t="shared" ca="1" si="56"/>
        <v>0</v>
      </c>
      <c r="M142" s="59">
        <f t="shared" ca="1" si="57"/>
        <v>0</v>
      </c>
      <c r="N142" s="57">
        <f t="shared" ca="1" si="58"/>
        <v>0</v>
      </c>
      <c r="O142" s="261">
        <f t="shared" ca="1" si="59"/>
        <v>0</v>
      </c>
      <c r="P142" s="261">
        <f t="shared" ca="1" si="60"/>
        <v>0</v>
      </c>
      <c r="Q142" s="261">
        <f t="shared" ca="1" si="61"/>
        <v>0</v>
      </c>
    </row>
    <row r="143" spans="1:17" ht="19.5" thickBot="1">
      <c r="A143" s="56">
        <v>132</v>
      </c>
      <c r="B143" s="57">
        <f t="shared" ca="1" si="65"/>
        <v>0</v>
      </c>
      <c r="C143" s="58">
        <f ca="1">IF(+$D$7=4,0,B142*$D$4)</f>
        <v>0</v>
      </c>
      <c r="D143" s="59">
        <f t="shared" ca="1" si="55"/>
        <v>0</v>
      </c>
      <c r="E143" s="58">
        <f t="shared" ca="1" si="54"/>
        <v>0</v>
      </c>
      <c r="F143" s="59">
        <f t="shared" ca="1" si="49"/>
        <v>0</v>
      </c>
      <c r="G143" s="58">
        <f t="shared" ca="1" si="62"/>
        <v>0</v>
      </c>
      <c r="H143" s="56">
        <f t="shared" ca="1" si="63"/>
        <v>0</v>
      </c>
      <c r="J143" s="52">
        <f t="shared" si="43"/>
        <v>128</v>
      </c>
      <c r="K143" s="57">
        <f t="shared" ca="1" si="64"/>
        <v>0</v>
      </c>
      <c r="L143" s="58">
        <f t="shared" ca="1" si="56"/>
        <v>0</v>
      </c>
      <c r="M143" s="59">
        <f t="shared" ca="1" si="57"/>
        <v>0</v>
      </c>
      <c r="N143" s="57">
        <f t="shared" ca="1" si="58"/>
        <v>0</v>
      </c>
      <c r="O143" s="261">
        <f t="shared" ca="1" si="59"/>
        <v>0</v>
      </c>
      <c r="P143" s="261">
        <f t="shared" ca="1" si="60"/>
        <v>0</v>
      </c>
      <c r="Q143" s="261">
        <f t="shared" ca="1" si="61"/>
        <v>0</v>
      </c>
    </row>
    <row r="144" spans="1:17" ht="19.5" thickBot="1">
      <c r="A144" s="56">
        <v>133</v>
      </c>
      <c r="B144" s="57">
        <f t="shared" ca="1" si="65"/>
        <v>0</v>
      </c>
      <c r="C144" s="58">
        <f ca="1">IF(+$D$7=4,0,B143*$D$4)</f>
        <v>0</v>
      </c>
      <c r="D144" s="59">
        <f t="shared" ca="1" si="55"/>
        <v>0</v>
      </c>
      <c r="E144" s="58">
        <f t="shared" ca="1" si="54"/>
        <v>0</v>
      </c>
      <c r="F144" s="59">
        <f t="shared" ca="1" si="49"/>
        <v>0</v>
      </c>
      <c r="G144" s="58">
        <f t="shared" ca="1" si="62"/>
        <v>0</v>
      </c>
      <c r="H144" s="56">
        <f t="shared" ca="1" si="63"/>
        <v>0</v>
      </c>
      <c r="J144" s="52">
        <f t="shared" ref="J144:J191" si="66">IF($A144=$F$4,1,IF($A144&gt;$F$4,$J143+1,0))</f>
        <v>129</v>
      </c>
      <c r="K144" s="57">
        <f t="shared" ca="1" si="64"/>
        <v>0</v>
      </c>
      <c r="L144" s="58">
        <f t="shared" ca="1" si="56"/>
        <v>0</v>
      </c>
      <c r="M144" s="59">
        <f t="shared" ca="1" si="57"/>
        <v>0</v>
      </c>
      <c r="N144" s="57">
        <f t="shared" ca="1" si="58"/>
        <v>0</v>
      </c>
      <c r="O144" s="261">
        <f t="shared" ca="1" si="59"/>
        <v>0</v>
      </c>
      <c r="P144" s="261">
        <f t="shared" ca="1" si="60"/>
        <v>0</v>
      </c>
      <c r="Q144" s="261">
        <f t="shared" ca="1" si="61"/>
        <v>0</v>
      </c>
    </row>
    <row r="145" spans="1:17" ht="19.5" thickBot="1">
      <c r="A145" s="56">
        <v>134</v>
      </c>
      <c r="B145" s="57">
        <f t="shared" ca="1" si="65"/>
        <v>0</v>
      </c>
      <c r="C145" s="58">
        <f ca="1">B144*$D$4</f>
        <v>0</v>
      </c>
      <c r="D145" s="59">
        <f t="shared" ca="1" si="55"/>
        <v>0</v>
      </c>
      <c r="E145" s="58">
        <f t="shared" ref="E145:E150" ca="1" si="67">IF(OR(C$6&gt;11,C145&lt;0.01),0,C$8-C145)</f>
        <v>0</v>
      </c>
      <c r="F145" s="59">
        <f t="shared" ca="1" si="49"/>
        <v>0</v>
      </c>
      <c r="G145" s="58">
        <f t="shared" ca="1" si="62"/>
        <v>0</v>
      </c>
      <c r="H145" s="56">
        <f t="shared" ca="1" si="63"/>
        <v>0</v>
      </c>
      <c r="J145" s="52">
        <f t="shared" si="66"/>
        <v>130</v>
      </c>
      <c r="K145" s="57">
        <f t="shared" ca="1" si="64"/>
        <v>0</v>
      </c>
      <c r="L145" s="58">
        <f t="shared" ca="1" si="56"/>
        <v>0</v>
      </c>
      <c r="M145" s="59">
        <f t="shared" ca="1" si="57"/>
        <v>0</v>
      </c>
      <c r="N145" s="57">
        <f t="shared" ca="1" si="58"/>
        <v>0</v>
      </c>
      <c r="O145" s="261">
        <f t="shared" ca="1" si="59"/>
        <v>0</v>
      </c>
      <c r="P145" s="261">
        <f t="shared" ca="1" si="60"/>
        <v>0</v>
      </c>
      <c r="Q145" s="261">
        <f t="shared" ca="1" si="61"/>
        <v>0</v>
      </c>
    </row>
    <row r="146" spans="1:17" ht="19.5" thickBot="1">
      <c r="A146" s="56">
        <v>135</v>
      </c>
      <c r="B146" s="57">
        <f t="shared" ca="1" si="65"/>
        <v>0</v>
      </c>
      <c r="C146" s="58">
        <f ca="1">IF(+$D$7=4,0,B145*$D$4)</f>
        <v>0</v>
      </c>
      <c r="D146" s="59">
        <f t="shared" ca="1" si="55"/>
        <v>0</v>
      </c>
      <c r="E146" s="58">
        <f t="shared" ca="1" si="67"/>
        <v>0</v>
      </c>
      <c r="F146" s="59">
        <f t="shared" ca="1" si="49"/>
        <v>0</v>
      </c>
      <c r="G146" s="58">
        <f t="shared" ca="1" si="62"/>
        <v>0</v>
      </c>
      <c r="H146" s="56">
        <f t="shared" ca="1" si="63"/>
        <v>0</v>
      </c>
      <c r="J146" s="52">
        <f t="shared" si="66"/>
        <v>131</v>
      </c>
      <c r="K146" s="57">
        <f t="shared" ca="1" si="64"/>
        <v>0</v>
      </c>
      <c r="L146" s="58">
        <f t="shared" ca="1" si="56"/>
        <v>0</v>
      </c>
      <c r="M146" s="59">
        <f t="shared" ca="1" si="57"/>
        <v>0</v>
      </c>
      <c r="N146" s="57">
        <f t="shared" ca="1" si="58"/>
        <v>0</v>
      </c>
      <c r="O146" s="261">
        <f t="shared" ca="1" si="59"/>
        <v>0</v>
      </c>
      <c r="P146" s="261">
        <f t="shared" ca="1" si="60"/>
        <v>0</v>
      </c>
      <c r="Q146" s="261">
        <f t="shared" ca="1" si="61"/>
        <v>0</v>
      </c>
    </row>
    <row r="147" spans="1:17" ht="19.5" thickBot="1">
      <c r="A147" s="56">
        <v>136</v>
      </c>
      <c r="B147" s="57">
        <f t="shared" ca="1" si="65"/>
        <v>0</v>
      </c>
      <c r="C147" s="58">
        <f ca="1">IF(+$D$7=4,0,B146*$D$4)</f>
        <v>0</v>
      </c>
      <c r="D147" s="59">
        <f t="shared" ca="1" si="55"/>
        <v>0</v>
      </c>
      <c r="E147" s="58">
        <f t="shared" ca="1" si="67"/>
        <v>0</v>
      </c>
      <c r="F147" s="59">
        <f t="shared" ca="1" si="49"/>
        <v>0</v>
      </c>
      <c r="G147" s="58">
        <f t="shared" ca="1" si="62"/>
        <v>0</v>
      </c>
      <c r="H147" s="56">
        <f t="shared" ca="1" si="63"/>
        <v>0</v>
      </c>
      <c r="J147" s="52">
        <f t="shared" si="66"/>
        <v>132</v>
      </c>
      <c r="K147" s="57">
        <f t="shared" ca="1" si="64"/>
        <v>0</v>
      </c>
      <c r="L147" s="58">
        <f t="shared" ca="1" si="56"/>
        <v>0</v>
      </c>
      <c r="M147" s="59">
        <f t="shared" ca="1" si="57"/>
        <v>0</v>
      </c>
      <c r="N147" s="57">
        <f t="shared" ca="1" si="58"/>
        <v>0</v>
      </c>
      <c r="O147" s="261">
        <f t="shared" ca="1" si="59"/>
        <v>0</v>
      </c>
      <c r="P147" s="261">
        <f t="shared" ca="1" si="60"/>
        <v>0</v>
      </c>
      <c r="Q147" s="261">
        <f t="shared" ca="1" si="61"/>
        <v>0</v>
      </c>
    </row>
    <row r="148" spans="1:17" ht="19.5" thickBot="1">
      <c r="A148" s="56">
        <v>137</v>
      </c>
      <c r="B148" s="57">
        <f t="shared" ca="1" si="65"/>
        <v>0</v>
      </c>
      <c r="C148" s="58">
        <f ca="1">B147*$D$4</f>
        <v>0</v>
      </c>
      <c r="D148" s="59">
        <f t="shared" ca="1" si="55"/>
        <v>0</v>
      </c>
      <c r="E148" s="58">
        <f t="shared" ca="1" si="67"/>
        <v>0</v>
      </c>
      <c r="F148" s="59">
        <f t="shared" ca="1" si="49"/>
        <v>0</v>
      </c>
      <c r="G148" s="58">
        <f t="shared" ca="1" si="62"/>
        <v>0</v>
      </c>
      <c r="H148" s="56">
        <f t="shared" ca="1" si="63"/>
        <v>0</v>
      </c>
      <c r="J148" s="52">
        <f t="shared" si="66"/>
        <v>133</v>
      </c>
      <c r="K148" s="57">
        <f t="shared" ca="1" si="64"/>
        <v>0</v>
      </c>
      <c r="L148" s="58">
        <f t="shared" ca="1" si="56"/>
        <v>0</v>
      </c>
      <c r="M148" s="59">
        <f t="shared" ca="1" si="57"/>
        <v>0</v>
      </c>
      <c r="N148" s="57">
        <f t="shared" ca="1" si="58"/>
        <v>0</v>
      </c>
      <c r="O148" s="261">
        <f t="shared" ca="1" si="59"/>
        <v>0</v>
      </c>
      <c r="P148" s="261">
        <f t="shared" ca="1" si="60"/>
        <v>0</v>
      </c>
      <c r="Q148" s="261">
        <f t="shared" ca="1" si="61"/>
        <v>0</v>
      </c>
    </row>
    <row r="149" spans="1:17" ht="19.5" thickBot="1">
      <c r="A149" s="56">
        <v>138</v>
      </c>
      <c r="B149" s="57">
        <f t="shared" ca="1" si="65"/>
        <v>0</v>
      </c>
      <c r="C149" s="58">
        <f ca="1">IF(+$D$7=4,0,B148*$D$4)</f>
        <v>0</v>
      </c>
      <c r="D149" s="59">
        <f t="shared" ca="1" si="55"/>
        <v>0</v>
      </c>
      <c r="E149" s="58">
        <f t="shared" ca="1" si="67"/>
        <v>0</v>
      </c>
      <c r="F149" s="59">
        <f t="shared" ca="1" si="49"/>
        <v>0</v>
      </c>
      <c r="G149" s="58">
        <f t="shared" ca="1" si="62"/>
        <v>0</v>
      </c>
      <c r="H149" s="56">
        <f t="shared" ca="1" si="63"/>
        <v>0</v>
      </c>
      <c r="J149" s="52">
        <f t="shared" si="66"/>
        <v>134</v>
      </c>
      <c r="K149" s="57">
        <f t="shared" ca="1" si="64"/>
        <v>0</v>
      </c>
      <c r="L149" s="58">
        <f t="shared" ca="1" si="56"/>
        <v>0</v>
      </c>
      <c r="M149" s="59">
        <f t="shared" ca="1" si="57"/>
        <v>0</v>
      </c>
      <c r="N149" s="57">
        <f t="shared" ca="1" si="58"/>
        <v>0</v>
      </c>
      <c r="O149" s="261">
        <f t="shared" ca="1" si="59"/>
        <v>0</v>
      </c>
      <c r="P149" s="261">
        <f t="shared" ca="1" si="60"/>
        <v>0</v>
      </c>
      <c r="Q149" s="261">
        <f t="shared" ca="1" si="61"/>
        <v>0</v>
      </c>
    </row>
    <row r="150" spans="1:17" ht="19.5" thickBot="1">
      <c r="A150" s="56">
        <v>139</v>
      </c>
      <c r="B150" s="57">
        <f t="shared" ca="1" si="65"/>
        <v>0</v>
      </c>
      <c r="C150" s="58">
        <f ca="1">IF(+$D$7=4,0,B149*$D$4)</f>
        <v>0</v>
      </c>
      <c r="D150" s="59">
        <f t="shared" ca="1" si="55"/>
        <v>0</v>
      </c>
      <c r="E150" s="58">
        <f t="shared" ca="1" si="67"/>
        <v>0</v>
      </c>
      <c r="F150" s="59">
        <f t="shared" ca="1" si="49"/>
        <v>0</v>
      </c>
      <c r="G150" s="58">
        <f t="shared" ca="1" si="62"/>
        <v>0</v>
      </c>
      <c r="H150" s="56">
        <f t="shared" ca="1" si="63"/>
        <v>0</v>
      </c>
      <c r="J150" s="52">
        <f t="shared" si="66"/>
        <v>135</v>
      </c>
      <c r="K150" s="57">
        <f t="shared" ca="1" si="64"/>
        <v>0</v>
      </c>
      <c r="L150" s="58">
        <f t="shared" ca="1" si="56"/>
        <v>0</v>
      </c>
      <c r="M150" s="59">
        <f t="shared" ca="1" si="57"/>
        <v>0</v>
      </c>
      <c r="N150" s="57">
        <f t="shared" ca="1" si="58"/>
        <v>0</v>
      </c>
      <c r="O150" s="261">
        <f t="shared" ca="1" si="59"/>
        <v>0</v>
      </c>
      <c r="P150" s="261">
        <f t="shared" ca="1" si="60"/>
        <v>0</v>
      </c>
      <c r="Q150" s="261">
        <f t="shared" ca="1" si="61"/>
        <v>0</v>
      </c>
    </row>
    <row r="151" spans="1:17" ht="19.5" thickBot="1">
      <c r="A151" s="56">
        <v>140</v>
      </c>
      <c r="B151" s="57">
        <f t="shared" ca="1" si="65"/>
        <v>0</v>
      </c>
      <c r="C151" s="58">
        <f ca="1">B150*$D$4</f>
        <v>0</v>
      </c>
      <c r="D151" s="59">
        <f t="shared" ca="1" si="55"/>
        <v>0</v>
      </c>
      <c r="E151" s="58">
        <f t="shared" ref="E151:E156" ca="1" si="68">IF(OR(C$6&gt;11.5,C151&lt;0.01),0,C$8-C151)</f>
        <v>0</v>
      </c>
      <c r="F151" s="59">
        <f t="shared" ca="1" si="49"/>
        <v>0</v>
      </c>
      <c r="G151" s="58">
        <f t="shared" ca="1" si="62"/>
        <v>0</v>
      </c>
      <c r="H151" s="56">
        <f t="shared" ca="1" si="63"/>
        <v>0</v>
      </c>
      <c r="J151" s="52">
        <f t="shared" si="66"/>
        <v>136</v>
      </c>
      <c r="K151" s="57">
        <f t="shared" ca="1" si="64"/>
        <v>0</v>
      </c>
      <c r="L151" s="58">
        <f t="shared" ca="1" si="56"/>
        <v>0</v>
      </c>
      <c r="M151" s="59">
        <f t="shared" ca="1" si="57"/>
        <v>0</v>
      </c>
      <c r="N151" s="57">
        <f t="shared" ca="1" si="58"/>
        <v>0</v>
      </c>
      <c r="O151" s="261">
        <f t="shared" ca="1" si="59"/>
        <v>0</v>
      </c>
      <c r="P151" s="261">
        <f t="shared" ca="1" si="60"/>
        <v>0</v>
      </c>
      <c r="Q151" s="261">
        <f t="shared" ca="1" si="61"/>
        <v>0</v>
      </c>
    </row>
    <row r="152" spans="1:17" ht="19.5" thickBot="1">
      <c r="A152" s="56">
        <v>141</v>
      </c>
      <c r="B152" s="57">
        <f t="shared" ca="1" si="65"/>
        <v>0</v>
      </c>
      <c r="C152" s="58">
        <f ca="1">IF(+$D$7=4,0,B151*$D$4)</f>
        <v>0</v>
      </c>
      <c r="D152" s="59">
        <f t="shared" ca="1" si="55"/>
        <v>0</v>
      </c>
      <c r="E152" s="58">
        <f t="shared" ca="1" si="68"/>
        <v>0</v>
      </c>
      <c r="F152" s="59">
        <f t="shared" ca="1" si="49"/>
        <v>0</v>
      </c>
      <c r="G152" s="58">
        <f t="shared" ca="1" si="62"/>
        <v>0</v>
      </c>
      <c r="H152" s="56">
        <f t="shared" ca="1" si="63"/>
        <v>0</v>
      </c>
      <c r="J152" s="52">
        <f t="shared" si="66"/>
        <v>137</v>
      </c>
      <c r="K152" s="57">
        <f t="shared" ca="1" si="64"/>
        <v>0</v>
      </c>
      <c r="L152" s="58">
        <f t="shared" ca="1" si="56"/>
        <v>0</v>
      </c>
      <c r="M152" s="59">
        <f t="shared" ca="1" si="57"/>
        <v>0</v>
      </c>
      <c r="N152" s="57">
        <f t="shared" ca="1" si="58"/>
        <v>0</v>
      </c>
      <c r="O152" s="261">
        <f t="shared" ca="1" si="59"/>
        <v>0</v>
      </c>
      <c r="P152" s="261">
        <f t="shared" ca="1" si="60"/>
        <v>0</v>
      </c>
      <c r="Q152" s="261">
        <f t="shared" ca="1" si="61"/>
        <v>0</v>
      </c>
    </row>
    <row r="153" spans="1:17" ht="19.5" thickBot="1">
      <c r="A153" s="56">
        <v>142</v>
      </c>
      <c r="B153" s="57">
        <f t="shared" ca="1" si="65"/>
        <v>0</v>
      </c>
      <c r="C153" s="58">
        <f ca="1">IF(+$D$7=4,0,B152*$D$4)</f>
        <v>0</v>
      </c>
      <c r="D153" s="59">
        <f t="shared" ca="1" si="55"/>
        <v>0</v>
      </c>
      <c r="E153" s="58">
        <f t="shared" ca="1" si="68"/>
        <v>0</v>
      </c>
      <c r="F153" s="59">
        <f t="shared" ca="1" si="49"/>
        <v>0</v>
      </c>
      <c r="G153" s="58">
        <f t="shared" ca="1" si="62"/>
        <v>0</v>
      </c>
      <c r="H153" s="56">
        <f t="shared" ca="1" si="63"/>
        <v>0</v>
      </c>
      <c r="J153" s="52">
        <f t="shared" si="66"/>
        <v>138</v>
      </c>
      <c r="K153" s="57">
        <f t="shared" ca="1" si="64"/>
        <v>0</v>
      </c>
      <c r="L153" s="58">
        <f t="shared" ca="1" si="56"/>
        <v>0</v>
      </c>
      <c r="M153" s="59">
        <f t="shared" ca="1" si="57"/>
        <v>0</v>
      </c>
      <c r="N153" s="57">
        <f t="shared" ca="1" si="58"/>
        <v>0</v>
      </c>
      <c r="O153" s="261">
        <f t="shared" ca="1" si="59"/>
        <v>0</v>
      </c>
      <c r="P153" s="261">
        <f t="shared" ca="1" si="60"/>
        <v>0</v>
      </c>
      <c r="Q153" s="261">
        <f t="shared" ca="1" si="61"/>
        <v>0</v>
      </c>
    </row>
    <row r="154" spans="1:17" ht="19.5" thickBot="1">
      <c r="A154" s="56">
        <v>143</v>
      </c>
      <c r="B154" s="57">
        <f t="shared" ca="1" si="65"/>
        <v>0</v>
      </c>
      <c r="C154" s="58">
        <f ca="1">B153*$D$4</f>
        <v>0</v>
      </c>
      <c r="D154" s="59">
        <f t="shared" ca="1" si="55"/>
        <v>0</v>
      </c>
      <c r="E154" s="58">
        <f t="shared" ca="1" si="68"/>
        <v>0</v>
      </c>
      <c r="F154" s="59">
        <f t="shared" ca="1" si="49"/>
        <v>0</v>
      </c>
      <c r="G154" s="58">
        <f t="shared" ca="1" si="62"/>
        <v>0</v>
      </c>
      <c r="H154" s="56">
        <f t="shared" ca="1" si="63"/>
        <v>0</v>
      </c>
      <c r="J154" s="52">
        <f t="shared" si="66"/>
        <v>139</v>
      </c>
      <c r="K154" s="57">
        <f t="shared" ca="1" si="64"/>
        <v>0</v>
      </c>
      <c r="L154" s="58">
        <f t="shared" ca="1" si="56"/>
        <v>0</v>
      </c>
      <c r="M154" s="59">
        <f t="shared" ca="1" si="57"/>
        <v>0</v>
      </c>
      <c r="N154" s="57">
        <f t="shared" ca="1" si="58"/>
        <v>0</v>
      </c>
      <c r="O154" s="261">
        <f t="shared" ca="1" si="59"/>
        <v>0</v>
      </c>
      <c r="P154" s="261">
        <f t="shared" ca="1" si="60"/>
        <v>0</v>
      </c>
      <c r="Q154" s="261">
        <f t="shared" ca="1" si="61"/>
        <v>0</v>
      </c>
    </row>
    <row r="155" spans="1:17" ht="19.5" thickBot="1">
      <c r="A155" s="56">
        <v>144</v>
      </c>
      <c r="B155" s="57">
        <f t="shared" ca="1" si="65"/>
        <v>0</v>
      </c>
      <c r="C155" s="58">
        <f ca="1">IF(+$D$7=4,0,B154*$D$4)</f>
        <v>0</v>
      </c>
      <c r="D155" s="59">
        <f t="shared" ca="1" si="55"/>
        <v>0</v>
      </c>
      <c r="E155" s="58">
        <f t="shared" ca="1" si="68"/>
        <v>0</v>
      </c>
      <c r="F155" s="59">
        <f t="shared" ca="1" si="49"/>
        <v>0</v>
      </c>
      <c r="G155" s="58">
        <f t="shared" ca="1" si="62"/>
        <v>0</v>
      </c>
      <c r="H155" s="56">
        <f t="shared" ca="1" si="63"/>
        <v>0</v>
      </c>
      <c r="J155" s="52">
        <f t="shared" si="66"/>
        <v>140</v>
      </c>
      <c r="K155" s="57">
        <f t="shared" ca="1" si="64"/>
        <v>0</v>
      </c>
      <c r="L155" s="58">
        <f t="shared" ca="1" si="56"/>
        <v>0</v>
      </c>
      <c r="M155" s="59">
        <f t="shared" ca="1" si="57"/>
        <v>0</v>
      </c>
      <c r="N155" s="57">
        <f t="shared" ca="1" si="58"/>
        <v>0</v>
      </c>
      <c r="O155" s="261">
        <f t="shared" ca="1" si="59"/>
        <v>0</v>
      </c>
      <c r="P155" s="261">
        <f t="shared" ca="1" si="60"/>
        <v>0</v>
      </c>
      <c r="Q155" s="261">
        <f t="shared" ca="1" si="61"/>
        <v>0</v>
      </c>
    </row>
    <row r="156" spans="1:17" ht="19.5" thickBot="1">
      <c r="A156" s="56">
        <v>145</v>
      </c>
      <c r="B156" s="57">
        <f t="shared" ca="1" si="65"/>
        <v>0</v>
      </c>
      <c r="C156" s="58">
        <f ca="1">IF(+$D$7=4,0,B155*$D$4)</f>
        <v>0</v>
      </c>
      <c r="D156" s="59">
        <f t="shared" ca="1" si="55"/>
        <v>0</v>
      </c>
      <c r="E156" s="58">
        <f t="shared" ca="1" si="68"/>
        <v>0</v>
      </c>
      <c r="F156" s="59">
        <f t="shared" ca="1" si="49"/>
        <v>0</v>
      </c>
      <c r="G156" s="58">
        <f t="shared" ca="1" si="62"/>
        <v>0</v>
      </c>
      <c r="H156" s="56">
        <f t="shared" ca="1" si="63"/>
        <v>0</v>
      </c>
      <c r="J156" s="52">
        <f t="shared" si="66"/>
        <v>141</v>
      </c>
      <c r="K156" s="57">
        <f t="shared" ca="1" si="64"/>
        <v>0</v>
      </c>
      <c r="L156" s="58">
        <f t="shared" ca="1" si="56"/>
        <v>0</v>
      </c>
      <c r="M156" s="59">
        <f t="shared" ca="1" si="57"/>
        <v>0</v>
      </c>
      <c r="N156" s="57">
        <f t="shared" ca="1" si="58"/>
        <v>0</v>
      </c>
      <c r="O156" s="261">
        <f t="shared" ca="1" si="59"/>
        <v>0</v>
      </c>
      <c r="P156" s="261">
        <f t="shared" ca="1" si="60"/>
        <v>0</v>
      </c>
      <c r="Q156" s="261">
        <f t="shared" ca="1" si="61"/>
        <v>0</v>
      </c>
    </row>
    <row r="157" spans="1:17" ht="19.5" thickBot="1">
      <c r="A157" s="56">
        <v>146</v>
      </c>
      <c r="B157" s="57">
        <f t="shared" ca="1" si="65"/>
        <v>0</v>
      </c>
      <c r="C157" s="58">
        <f ca="1">B156*$D$4</f>
        <v>0</v>
      </c>
      <c r="D157" s="59">
        <f t="shared" ca="1" si="55"/>
        <v>0</v>
      </c>
      <c r="E157" s="58">
        <f t="shared" ref="E157:E162" ca="1" si="69">IF(OR(C$6&gt;12,C157&lt;0.01),0,C$8-C157)</f>
        <v>0</v>
      </c>
      <c r="F157" s="59">
        <f t="shared" ca="1" si="49"/>
        <v>0</v>
      </c>
      <c r="G157" s="58">
        <f t="shared" ca="1" si="62"/>
        <v>0</v>
      </c>
      <c r="H157" s="56">
        <f t="shared" ca="1" si="63"/>
        <v>0</v>
      </c>
      <c r="J157" s="52">
        <f t="shared" si="66"/>
        <v>142</v>
      </c>
      <c r="K157" s="57">
        <f t="shared" ca="1" si="64"/>
        <v>0</v>
      </c>
      <c r="L157" s="58">
        <f t="shared" ca="1" si="56"/>
        <v>0</v>
      </c>
      <c r="M157" s="59">
        <f t="shared" ca="1" si="57"/>
        <v>0</v>
      </c>
      <c r="N157" s="57">
        <f t="shared" ca="1" si="58"/>
        <v>0</v>
      </c>
      <c r="O157" s="261">
        <f t="shared" ca="1" si="59"/>
        <v>0</v>
      </c>
      <c r="P157" s="261">
        <f t="shared" ca="1" si="60"/>
        <v>0</v>
      </c>
      <c r="Q157" s="261">
        <f t="shared" ca="1" si="61"/>
        <v>0</v>
      </c>
    </row>
    <row r="158" spans="1:17" ht="19.5" thickBot="1">
      <c r="A158" s="56">
        <v>147</v>
      </c>
      <c r="B158" s="57">
        <f t="shared" ca="1" si="65"/>
        <v>0</v>
      </c>
      <c r="C158" s="58">
        <f ca="1">IF(+$D$7=4,0,B157*$D$4)</f>
        <v>0</v>
      </c>
      <c r="D158" s="59">
        <f t="shared" ca="1" si="55"/>
        <v>0</v>
      </c>
      <c r="E158" s="58">
        <f t="shared" ca="1" si="69"/>
        <v>0</v>
      </c>
      <c r="F158" s="59">
        <f t="shared" ca="1" si="49"/>
        <v>0</v>
      </c>
      <c r="G158" s="58">
        <f t="shared" ca="1" si="62"/>
        <v>0</v>
      </c>
      <c r="H158" s="56">
        <f t="shared" ca="1" si="63"/>
        <v>0</v>
      </c>
      <c r="J158" s="52">
        <f t="shared" si="66"/>
        <v>143</v>
      </c>
      <c r="K158" s="57">
        <f t="shared" ca="1" si="64"/>
        <v>0</v>
      </c>
      <c r="L158" s="58">
        <f t="shared" ca="1" si="56"/>
        <v>0</v>
      </c>
      <c r="M158" s="59">
        <f t="shared" ca="1" si="57"/>
        <v>0</v>
      </c>
      <c r="N158" s="57">
        <f t="shared" ca="1" si="58"/>
        <v>0</v>
      </c>
      <c r="O158" s="261">
        <f t="shared" ca="1" si="59"/>
        <v>0</v>
      </c>
      <c r="P158" s="261">
        <f t="shared" ca="1" si="60"/>
        <v>0</v>
      </c>
      <c r="Q158" s="261">
        <f t="shared" ca="1" si="61"/>
        <v>0</v>
      </c>
    </row>
    <row r="159" spans="1:17" ht="19.5" thickBot="1">
      <c r="A159" s="56">
        <v>148</v>
      </c>
      <c r="B159" s="57">
        <f t="shared" ca="1" si="65"/>
        <v>0</v>
      </c>
      <c r="C159" s="58">
        <f ca="1">IF(+$D$7=4,0,B158*$D$4)</f>
        <v>0</v>
      </c>
      <c r="D159" s="59">
        <f t="shared" ca="1" si="55"/>
        <v>0</v>
      </c>
      <c r="E159" s="58">
        <f t="shared" ca="1" si="69"/>
        <v>0</v>
      </c>
      <c r="F159" s="59">
        <f t="shared" ca="1" si="49"/>
        <v>0</v>
      </c>
      <c r="G159" s="58">
        <f t="shared" ca="1" si="62"/>
        <v>0</v>
      </c>
      <c r="H159" s="56">
        <f t="shared" ca="1" si="63"/>
        <v>0</v>
      </c>
      <c r="J159" s="52">
        <f t="shared" si="66"/>
        <v>144</v>
      </c>
      <c r="K159" s="57">
        <f t="shared" ca="1" si="64"/>
        <v>0</v>
      </c>
      <c r="L159" s="58">
        <f t="shared" ca="1" si="56"/>
        <v>0</v>
      </c>
      <c r="M159" s="59">
        <f t="shared" ca="1" si="57"/>
        <v>0</v>
      </c>
      <c r="N159" s="57">
        <f t="shared" ca="1" si="58"/>
        <v>0</v>
      </c>
      <c r="O159" s="261">
        <f t="shared" ca="1" si="59"/>
        <v>0</v>
      </c>
      <c r="P159" s="261">
        <f t="shared" ca="1" si="60"/>
        <v>0</v>
      </c>
      <c r="Q159" s="261">
        <f t="shared" ca="1" si="61"/>
        <v>0</v>
      </c>
    </row>
    <row r="160" spans="1:17" ht="19.5" thickBot="1">
      <c r="A160" s="56">
        <v>149</v>
      </c>
      <c r="B160" s="57">
        <f t="shared" ca="1" si="65"/>
        <v>0</v>
      </c>
      <c r="C160" s="58">
        <f ca="1">B159*$D$4</f>
        <v>0</v>
      </c>
      <c r="D160" s="59">
        <f t="shared" ca="1" si="55"/>
        <v>0</v>
      </c>
      <c r="E160" s="58">
        <f t="shared" ca="1" si="69"/>
        <v>0</v>
      </c>
      <c r="F160" s="59">
        <f t="shared" ca="1" si="49"/>
        <v>0</v>
      </c>
      <c r="G160" s="58">
        <f t="shared" ca="1" si="62"/>
        <v>0</v>
      </c>
      <c r="H160" s="56">
        <f t="shared" ca="1" si="63"/>
        <v>0</v>
      </c>
      <c r="J160" s="52">
        <f t="shared" si="66"/>
        <v>145</v>
      </c>
      <c r="K160" s="57">
        <f t="shared" ca="1" si="64"/>
        <v>0</v>
      </c>
      <c r="L160" s="58">
        <f t="shared" ca="1" si="56"/>
        <v>0</v>
      </c>
      <c r="M160" s="59">
        <f t="shared" ca="1" si="57"/>
        <v>0</v>
      </c>
      <c r="N160" s="57">
        <f t="shared" ca="1" si="58"/>
        <v>0</v>
      </c>
      <c r="O160" s="261">
        <f t="shared" ca="1" si="59"/>
        <v>0</v>
      </c>
      <c r="P160" s="261">
        <f t="shared" ca="1" si="60"/>
        <v>0</v>
      </c>
      <c r="Q160" s="261">
        <f t="shared" ca="1" si="61"/>
        <v>0</v>
      </c>
    </row>
    <row r="161" spans="1:17" ht="19.5" thickBot="1">
      <c r="A161" s="56">
        <v>150</v>
      </c>
      <c r="B161" s="57">
        <f t="shared" ca="1" si="65"/>
        <v>0</v>
      </c>
      <c r="C161" s="58">
        <f ca="1">IF(+$D$7=4,0,B160*$D$4)</f>
        <v>0</v>
      </c>
      <c r="D161" s="59">
        <f t="shared" ca="1" si="55"/>
        <v>0</v>
      </c>
      <c r="E161" s="58">
        <f t="shared" ca="1" si="69"/>
        <v>0</v>
      </c>
      <c r="F161" s="59">
        <f t="shared" ca="1" si="49"/>
        <v>0</v>
      </c>
      <c r="G161" s="58">
        <f t="shared" ca="1" si="62"/>
        <v>0</v>
      </c>
      <c r="H161" s="56">
        <f t="shared" ca="1" si="63"/>
        <v>0</v>
      </c>
      <c r="J161" s="52">
        <f t="shared" si="66"/>
        <v>146</v>
      </c>
      <c r="K161" s="57">
        <f t="shared" ca="1" si="64"/>
        <v>0</v>
      </c>
      <c r="L161" s="58">
        <f t="shared" ca="1" si="56"/>
        <v>0</v>
      </c>
      <c r="M161" s="59">
        <f t="shared" ca="1" si="57"/>
        <v>0</v>
      </c>
      <c r="N161" s="57">
        <f t="shared" ca="1" si="58"/>
        <v>0</v>
      </c>
      <c r="O161" s="261">
        <f t="shared" ca="1" si="59"/>
        <v>0</v>
      </c>
      <c r="P161" s="261">
        <f t="shared" ca="1" si="60"/>
        <v>0</v>
      </c>
      <c r="Q161" s="261">
        <f t="shared" ca="1" si="61"/>
        <v>0</v>
      </c>
    </row>
    <row r="162" spans="1:17" ht="19.5" thickBot="1">
      <c r="A162" s="56">
        <v>151</v>
      </c>
      <c r="B162" s="57">
        <f t="shared" ca="1" si="65"/>
        <v>0</v>
      </c>
      <c r="C162" s="58">
        <f ca="1">IF(+$D$7=4,0,B161*$D$4)</f>
        <v>0</v>
      </c>
      <c r="D162" s="59">
        <f t="shared" ca="1" si="55"/>
        <v>0</v>
      </c>
      <c r="E162" s="58">
        <f t="shared" ca="1" si="69"/>
        <v>0</v>
      </c>
      <c r="F162" s="59">
        <f t="shared" ca="1" si="49"/>
        <v>0</v>
      </c>
      <c r="G162" s="58">
        <f t="shared" ca="1" si="62"/>
        <v>0</v>
      </c>
      <c r="H162" s="56">
        <f t="shared" ca="1" si="63"/>
        <v>0</v>
      </c>
      <c r="J162" s="52">
        <f t="shared" si="66"/>
        <v>147</v>
      </c>
      <c r="K162" s="57">
        <f t="shared" ca="1" si="64"/>
        <v>0</v>
      </c>
      <c r="L162" s="58">
        <f t="shared" ca="1" si="56"/>
        <v>0</v>
      </c>
      <c r="M162" s="59">
        <f t="shared" ca="1" si="57"/>
        <v>0</v>
      </c>
      <c r="N162" s="57">
        <f t="shared" ca="1" si="58"/>
        <v>0</v>
      </c>
      <c r="O162" s="261">
        <f t="shared" ca="1" si="59"/>
        <v>0</v>
      </c>
      <c r="P162" s="261">
        <f t="shared" ca="1" si="60"/>
        <v>0</v>
      </c>
      <c r="Q162" s="261">
        <f t="shared" ca="1" si="61"/>
        <v>0</v>
      </c>
    </row>
    <row r="163" spans="1:17" ht="19.5" thickBot="1">
      <c r="A163" s="56">
        <v>152</v>
      </c>
      <c r="B163" s="57">
        <f t="shared" ca="1" si="65"/>
        <v>0</v>
      </c>
      <c r="C163" s="58">
        <f ca="1">B162*$D$4</f>
        <v>0</v>
      </c>
      <c r="D163" s="59">
        <f t="shared" ca="1" si="55"/>
        <v>0</v>
      </c>
      <c r="E163" s="58">
        <f t="shared" ref="E163:E168" ca="1" si="70">IF(OR(C$6&gt;12.5,C163&lt;0.01),0,C$8-C163)</f>
        <v>0</v>
      </c>
      <c r="F163" s="59">
        <f t="shared" ca="1" si="49"/>
        <v>0</v>
      </c>
      <c r="G163" s="58">
        <f t="shared" ca="1" si="62"/>
        <v>0</v>
      </c>
      <c r="H163" s="56">
        <f t="shared" ca="1" si="63"/>
        <v>0</v>
      </c>
      <c r="J163" s="52">
        <f t="shared" si="66"/>
        <v>148</v>
      </c>
      <c r="K163" s="57">
        <f t="shared" ca="1" si="64"/>
        <v>0</v>
      </c>
      <c r="L163" s="58">
        <f t="shared" ca="1" si="56"/>
        <v>0</v>
      </c>
      <c r="M163" s="59">
        <f t="shared" ca="1" si="57"/>
        <v>0</v>
      </c>
      <c r="N163" s="57">
        <f t="shared" ca="1" si="58"/>
        <v>0</v>
      </c>
      <c r="O163" s="261">
        <f t="shared" ca="1" si="59"/>
        <v>0</v>
      </c>
      <c r="P163" s="261">
        <f t="shared" ca="1" si="60"/>
        <v>0</v>
      </c>
      <c r="Q163" s="261">
        <f t="shared" ca="1" si="61"/>
        <v>0</v>
      </c>
    </row>
    <row r="164" spans="1:17" ht="19.5" thickBot="1">
      <c r="A164" s="56">
        <v>153</v>
      </c>
      <c r="B164" s="57">
        <f t="shared" ca="1" si="65"/>
        <v>0</v>
      </c>
      <c r="C164" s="58">
        <f ca="1">IF(+$D$7=4,0,B163*$D$4)</f>
        <v>0</v>
      </c>
      <c r="D164" s="59">
        <f t="shared" ca="1" si="55"/>
        <v>0</v>
      </c>
      <c r="E164" s="58">
        <f t="shared" ca="1" si="70"/>
        <v>0</v>
      </c>
      <c r="F164" s="59">
        <f t="shared" ca="1" si="49"/>
        <v>0</v>
      </c>
      <c r="G164" s="58">
        <f t="shared" ca="1" si="62"/>
        <v>0</v>
      </c>
      <c r="H164" s="56">
        <f t="shared" ca="1" si="63"/>
        <v>0</v>
      </c>
      <c r="J164" s="52">
        <f t="shared" si="66"/>
        <v>149</v>
      </c>
      <c r="K164" s="57">
        <f t="shared" ca="1" si="64"/>
        <v>0</v>
      </c>
      <c r="L164" s="58">
        <f t="shared" ca="1" si="56"/>
        <v>0</v>
      </c>
      <c r="M164" s="59">
        <f t="shared" ca="1" si="57"/>
        <v>0</v>
      </c>
      <c r="N164" s="57">
        <f t="shared" ca="1" si="58"/>
        <v>0</v>
      </c>
      <c r="O164" s="261">
        <f t="shared" ca="1" si="59"/>
        <v>0</v>
      </c>
      <c r="P164" s="261">
        <f t="shared" ca="1" si="60"/>
        <v>0</v>
      </c>
      <c r="Q164" s="261">
        <f t="shared" ca="1" si="61"/>
        <v>0</v>
      </c>
    </row>
    <row r="165" spans="1:17" ht="19.5" thickBot="1">
      <c r="A165" s="56">
        <v>154</v>
      </c>
      <c r="B165" s="57">
        <f t="shared" ca="1" si="65"/>
        <v>0</v>
      </c>
      <c r="C165" s="58">
        <f ca="1">IF(+$D$7=4,0,B164*$D$4)</f>
        <v>0</v>
      </c>
      <c r="D165" s="59">
        <f t="shared" ca="1" si="55"/>
        <v>0</v>
      </c>
      <c r="E165" s="58">
        <f t="shared" ca="1" si="70"/>
        <v>0</v>
      </c>
      <c r="F165" s="59">
        <f t="shared" ca="1" si="49"/>
        <v>0</v>
      </c>
      <c r="G165" s="58">
        <f t="shared" ca="1" si="62"/>
        <v>0</v>
      </c>
      <c r="H165" s="56">
        <f t="shared" ca="1" si="63"/>
        <v>0</v>
      </c>
      <c r="J165" s="52">
        <f t="shared" si="66"/>
        <v>150</v>
      </c>
      <c r="K165" s="57">
        <f t="shared" ca="1" si="64"/>
        <v>0</v>
      </c>
      <c r="L165" s="58">
        <f t="shared" ca="1" si="56"/>
        <v>0</v>
      </c>
      <c r="M165" s="59">
        <f t="shared" ca="1" si="57"/>
        <v>0</v>
      </c>
      <c r="N165" s="57">
        <f t="shared" ca="1" si="58"/>
        <v>0</v>
      </c>
      <c r="O165" s="261">
        <f t="shared" ca="1" si="59"/>
        <v>0</v>
      </c>
      <c r="P165" s="261">
        <f t="shared" ca="1" si="60"/>
        <v>0</v>
      </c>
      <c r="Q165" s="261">
        <f t="shared" ca="1" si="61"/>
        <v>0</v>
      </c>
    </row>
    <row r="166" spans="1:17" ht="19.5" thickBot="1">
      <c r="A166" s="56">
        <v>155</v>
      </c>
      <c r="B166" s="57">
        <f t="shared" ca="1" si="65"/>
        <v>0</v>
      </c>
      <c r="C166" s="58">
        <f ca="1">B165*$D$4</f>
        <v>0</v>
      </c>
      <c r="D166" s="59">
        <f t="shared" ca="1" si="55"/>
        <v>0</v>
      </c>
      <c r="E166" s="58">
        <f t="shared" ca="1" si="70"/>
        <v>0</v>
      </c>
      <c r="F166" s="59">
        <f t="shared" ca="1" si="49"/>
        <v>0</v>
      </c>
      <c r="G166" s="58">
        <f t="shared" ca="1" si="62"/>
        <v>0</v>
      </c>
      <c r="H166" s="56">
        <f t="shared" ca="1" si="63"/>
        <v>0</v>
      </c>
      <c r="J166" s="52">
        <f t="shared" si="66"/>
        <v>151</v>
      </c>
      <c r="K166" s="57">
        <f t="shared" ca="1" si="64"/>
        <v>0</v>
      </c>
      <c r="L166" s="58">
        <f t="shared" ca="1" si="56"/>
        <v>0</v>
      </c>
      <c r="M166" s="59">
        <f t="shared" ca="1" si="57"/>
        <v>0</v>
      </c>
      <c r="N166" s="57">
        <f t="shared" ca="1" si="58"/>
        <v>0</v>
      </c>
      <c r="O166" s="261">
        <f t="shared" ca="1" si="59"/>
        <v>0</v>
      </c>
      <c r="P166" s="261">
        <f t="shared" ca="1" si="60"/>
        <v>0</v>
      </c>
      <c r="Q166" s="261">
        <f t="shared" ca="1" si="61"/>
        <v>0</v>
      </c>
    </row>
    <row r="167" spans="1:17" ht="19.5" thickBot="1">
      <c r="A167" s="56">
        <v>156</v>
      </c>
      <c r="B167" s="57">
        <f t="shared" ca="1" si="65"/>
        <v>0</v>
      </c>
      <c r="C167" s="58">
        <f ca="1">IF(+$D$7=4,0,B166*$D$4)</f>
        <v>0</v>
      </c>
      <c r="D167" s="59">
        <f t="shared" ca="1" si="55"/>
        <v>0</v>
      </c>
      <c r="E167" s="58">
        <f t="shared" ca="1" si="70"/>
        <v>0</v>
      </c>
      <c r="F167" s="59">
        <f t="shared" ca="1" si="49"/>
        <v>0</v>
      </c>
      <c r="G167" s="58">
        <f t="shared" ca="1" si="62"/>
        <v>0</v>
      </c>
      <c r="H167" s="56">
        <f t="shared" ca="1" si="63"/>
        <v>0</v>
      </c>
      <c r="J167" s="52">
        <f t="shared" si="66"/>
        <v>152</v>
      </c>
      <c r="K167" s="57">
        <f t="shared" ca="1" si="64"/>
        <v>0</v>
      </c>
      <c r="L167" s="58">
        <f t="shared" ca="1" si="56"/>
        <v>0</v>
      </c>
      <c r="M167" s="59">
        <f t="shared" ca="1" si="57"/>
        <v>0</v>
      </c>
      <c r="N167" s="57">
        <f t="shared" ca="1" si="58"/>
        <v>0</v>
      </c>
      <c r="O167" s="261">
        <f t="shared" ca="1" si="59"/>
        <v>0</v>
      </c>
      <c r="P167" s="261">
        <f t="shared" ca="1" si="60"/>
        <v>0</v>
      </c>
      <c r="Q167" s="261">
        <f t="shared" ca="1" si="61"/>
        <v>0</v>
      </c>
    </row>
    <row r="168" spans="1:17" ht="19.5" thickBot="1">
      <c r="A168" s="56">
        <v>157</v>
      </c>
      <c r="B168" s="57">
        <f t="shared" ca="1" si="65"/>
        <v>0</v>
      </c>
      <c r="C168" s="58">
        <f ca="1">IF(+$D$7=4,0,B167*$D$4)</f>
        <v>0</v>
      </c>
      <c r="D168" s="59">
        <f t="shared" ca="1" si="55"/>
        <v>0</v>
      </c>
      <c r="E168" s="58">
        <f t="shared" ca="1" si="70"/>
        <v>0</v>
      </c>
      <c r="F168" s="59">
        <f t="shared" ca="1" si="49"/>
        <v>0</v>
      </c>
      <c r="G168" s="58">
        <f t="shared" ca="1" si="62"/>
        <v>0</v>
      </c>
      <c r="H168" s="56">
        <f t="shared" ca="1" si="63"/>
        <v>0</v>
      </c>
      <c r="J168" s="52">
        <f t="shared" si="66"/>
        <v>153</v>
      </c>
      <c r="K168" s="57">
        <f t="shared" ca="1" si="64"/>
        <v>0</v>
      </c>
      <c r="L168" s="58">
        <f t="shared" ca="1" si="56"/>
        <v>0</v>
      </c>
      <c r="M168" s="59">
        <f t="shared" ca="1" si="57"/>
        <v>0</v>
      </c>
      <c r="N168" s="57">
        <f t="shared" ca="1" si="58"/>
        <v>0</v>
      </c>
      <c r="O168" s="261">
        <f t="shared" ca="1" si="59"/>
        <v>0</v>
      </c>
      <c r="P168" s="261">
        <f t="shared" ca="1" si="60"/>
        <v>0</v>
      </c>
      <c r="Q168" s="261">
        <f t="shared" ca="1" si="61"/>
        <v>0</v>
      </c>
    </row>
    <row r="169" spans="1:17" ht="19.5" thickBot="1">
      <c r="A169" s="56">
        <v>158</v>
      </c>
      <c r="B169" s="57">
        <f t="shared" ca="1" si="65"/>
        <v>0</v>
      </c>
      <c r="C169" s="58">
        <f ca="1">B168*$D$4</f>
        <v>0</v>
      </c>
      <c r="D169" s="59">
        <f t="shared" ca="1" si="55"/>
        <v>0</v>
      </c>
      <c r="E169" s="58">
        <f t="shared" ref="E169:E174" ca="1" si="71">IF(OR(C$6&gt;13,C169&lt;0.01),0,C$8-C169)</f>
        <v>0</v>
      </c>
      <c r="F169" s="59">
        <f t="shared" ca="1" si="49"/>
        <v>0</v>
      </c>
      <c r="G169" s="58">
        <f t="shared" ca="1" si="62"/>
        <v>0</v>
      </c>
      <c r="H169" s="56">
        <f t="shared" ca="1" si="63"/>
        <v>0</v>
      </c>
      <c r="J169" s="52">
        <f t="shared" si="66"/>
        <v>154</v>
      </c>
      <c r="K169" s="57">
        <f t="shared" ca="1" si="64"/>
        <v>0</v>
      </c>
      <c r="L169" s="58">
        <f t="shared" ca="1" si="56"/>
        <v>0</v>
      </c>
      <c r="M169" s="59">
        <f t="shared" ca="1" si="57"/>
        <v>0</v>
      </c>
      <c r="N169" s="57">
        <f t="shared" ca="1" si="58"/>
        <v>0</v>
      </c>
      <c r="O169" s="261">
        <f t="shared" ca="1" si="59"/>
        <v>0</v>
      </c>
      <c r="P169" s="261">
        <f t="shared" ca="1" si="60"/>
        <v>0</v>
      </c>
      <c r="Q169" s="261">
        <f t="shared" ca="1" si="61"/>
        <v>0</v>
      </c>
    </row>
    <row r="170" spans="1:17" ht="19.5" thickBot="1">
      <c r="A170" s="56">
        <v>159</v>
      </c>
      <c r="B170" s="57">
        <f t="shared" ca="1" si="65"/>
        <v>0</v>
      </c>
      <c r="C170" s="58">
        <f ca="1">IF(+$D$7=4,0,B169*$D$4)</f>
        <v>0</v>
      </c>
      <c r="D170" s="59">
        <f t="shared" ca="1" si="55"/>
        <v>0</v>
      </c>
      <c r="E170" s="58">
        <f t="shared" ca="1" si="71"/>
        <v>0</v>
      </c>
      <c r="F170" s="59">
        <f t="shared" ca="1" si="49"/>
        <v>0</v>
      </c>
      <c r="G170" s="58">
        <f t="shared" ca="1" si="62"/>
        <v>0</v>
      </c>
      <c r="H170" s="56">
        <f t="shared" ca="1" si="63"/>
        <v>0</v>
      </c>
      <c r="J170" s="52">
        <f t="shared" si="66"/>
        <v>155</v>
      </c>
      <c r="K170" s="57">
        <f t="shared" ca="1" si="64"/>
        <v>0</v>
      </c>
      <c r="L170" s="58">
        <f t="shared" ca="1" si="56"/>
        <v>0</v>
      </c>
      <c r="M170" s="59">
        <f t="shared" ca="1" si="57"/>
        <v>0</v>
      </c>
      <c r="N170" s="57">
        <f t="shared" ca="1" si="58"/>
        <v>0</v>
      </c>
      <c r="O170" s="261">
        <f t="shared" ca="1" si="59"/>
        <v>0</v>
      </c>
      <c r="P170" s="261">
        <f t="shared" ca="1" si="60"/>
        <v>0</v>
      </c>
      <c r="Q170" s="261">
        <f t="shared" ca="1" si="61"/>
        <v>0</v>
      </c>
    </row>
    <row r="171" spans="1:17" ht="19.5" thickBot="1">
      <c r="A171" s="56">
        <v>160</v>
      </c>
      <c r="B171" s="57">
        <f t="shared" ca="1" si="65"/>
        <v>0</v>
      </c>
      <c r="C171" s="58">
        <f ca="1">IF(+$D$7=4,0,B170*$D$4)</f>
        <v>0</v>
      </c>
      <c r="D171" s="59">
        <f t="shared" ca="1" si="55"/>
        <v>0</v>
      </c>
      <c r="E171" s="58">
        <f t="shared" ca="1" si="71"/>
        <v>0</v>
      </c>
      <c r="F171" s="59">
        <f t="shared" ca="1" si="49"/>
        <v>0</v>
      </c>
      <c r="G171" s="58">
        <f t="shared" ca="1" si="62"/>
        <v>0</v>
      </c>
      <c r="H171" s="56">
        <f t="shared" ca="1" si="63"/>
        <v>0</v>
      </c>
      <c r="J171" s="52">
        <f t="shared" si="66"/>
        <v>156</v>
      </c>
      <c r="K171" s="57">
        <f t="shared" ca="1" si="64"/>
        <v>0</v>
      </c>
      <c r="L171" s="58">
        <f t="shared" ca="1" si="56"/>
        <v>0</v>
      </c>
      <c r="M171" s="59">
        <f t="shared" ca="1" si="57"/>
        <v>0</v>
      </c>
      <c r="N171" s="57">
        <f t="shared" ca="1" si="58"/>
        <v>0</v>
      </c>
      <c r="O171" s="261">
        <f t="shared" ca="1" si="59"/>
        <v>0</v>
      </c>
      <c r="P171" s="261">
        <f t="shared" ca="1" si="60"/>
        <v>0</v>
      </c>
      <c r="Q171" s="261">
        <f t="shared" ca="1" si="61"/>
        <v>0</v>
      </c>
    </row>
    <row r="172" spans="1:17" ht="19.5" thickBot="1">
      <c r="A172" s="56">
        <v>161</v>
      </c>
      <c r="B172" s="57">
        <f t="shared" ca="1" si="65"/>
        <v>0</v>
      </c>
      <c r="C172" s="58">
        <f ca="1">B171*$D$4</f>
        <v>0</v>
      </c>
      <c r="D172" s="59">
        <f t="shared" ca="1" si="55"/>
        <v>0</v>
      </c>
      <c r="E172" s="58">
        <f t="shared" ca="1" si="71"/>
        <v>0</v>
      </c>
      <c r="F172" s="59">
        <f t="shared" ca="1" si="49"/>
        <v>0</v>
      </c>
      <c r="G172" s="58">
        <f t="shared" ca="1" si="62"/>
        <v>0</v>
      </c>
      <c r="H172" s="56">
        <f t="shared" ca="1" si="63"/>
        <v>0</v>
      </c>
      <c r="J172" s="52">
        <f t="shared" si="66"/>
        <v>157</v>
      </c>
      <c r="K172" s="57">
        <f t="shared" ca="1" si="64"/>
        <v>0</v>
      </c>
      <c r="L172" s="58">
        <f t="shared" ca="1" si="56"/>
        <v>0</v>
      </c>
      <c r="M172" s="59">
        <f t="shared" ca="1" si="57"/>
        <v>0</v>
      </c>
      <c r="N172" s="57">
        <f t="shared" ca="1" si="58"/>
        <v>0</v>
      </c>
      <c r="O172" s="261">
        <f t="shared" ca="1" si="59"/>
        <v>0</v>
      </c>
      <c r="P172" s="261">
        <f t="shared" ca="1" si="60"/>
        <v>0</v>
      </c>
      <c r="Q172" s="261">
        <f t="shared" ca="1" si="61"/>
        <v>0</v>
      </c>
    </row>
    <row r="173" spans="1:17" ht="19.5" thickBot="1">
      <c r="A173" s="56">
        <v>162</v>
      </c>
      <c r="B173" s="57">
        <f t="shared" ca="1" si="65"/>
        <v>0</v>
      </c>
      <c r="C173" s="58">
        <f ca="1">IF(+$D$7=4,0,B172*$D$4)</f>
        <v>0</v>
      </c>
      <c r="D173" s="59">
        <f t="shared" ca="1" si="55"/>
        <v>0</v>
      </c>
      <c r="E173" s="58">
        <f t="shared" ca="1" si="71"/>
        <v>0</v>
      </c>
      <c r="F173" s="59">
        <f t="shared" ca="1" si="49"/>
        <v>0</v>
      </c>
      <c r="G173" s="58">
        <f t="shared" ca="1" si="62"/>
        <v>0</v>
      </c>
      <c r="H173" s="56">
        <f t="shared" ca="1" si="63"/>
        <v>0</v>
      </c>
      <c r="J173" s="52">
        <f t="shared" si="66"/>
        <v>158</v>
      </c>
      <c r="K173" s="57">
        <f t="shared" ca="1" si="64"/>
        <v>0</v>
      </c>
      <c r="L173" s="58">
        <f t="shared" ca="1" si="56"/>
        <v>0</v>
      </c>
      <c r="M173" s="59">
        <f t="shared" ca="1" si="57"/>
        <v>0</v>
      </c>
      <c r="N173" s="57">
        <f t="shared" ca="1" si="58"/>
        <v>0</v>
      </c>
      <c r="O173" s="261">
        <f t="shared" ca="1" si="59"/>
        <v>0</v>
      </c>
      <c r="P173" s="261">
        <f t="shared" ca="1" si="60"/>
        <v>0</v>
      </c>
      <c r="Q173" s="261">
        <f t="shared" ca="1" si="61"/>
        <v>0</v>
      </c>
    </row>
    <row r="174" spans="1:17" ht="19.5" thickBot="1">
      <c r="A174" s="56">
        <v>163</v>
      </c>
      <c r="B174" s="57">
        <f t="shared" ca="1" si="65"/>
        <v>0</v>
      </c>
      <c r="C174" s="58">
        <f ca="1">IF(+$D$7=4,0,B173*$D$4)</f>
        <v>0</v>
      </c>
      <c r="D174" s="59">
        <f t="shared" ca="1" si="55"/>
        <v>0</v>
      </c>
      <c r="E174" s="58">
        <f t="shared" ca="1" si="71"/>
        <v>0</v>
      </c>
      <c r="F174" s="59">
        <f t="shared" ca="1" si="49"/>
        <v>0</v>
      </c>
      <c r="G174" s="58">
        <f t="shared" ca="1" si="62"/>
        <v>0</v>
      </c>
      <c r="H174" s="56">
        <f t="shared" ca="1" si="63"/>
        <v>0</v>
      </c>
      <c r="J174" s="52">
        <f t="shared" si="66"/>
        <v>159</v>
      </c>
      <c r="K174" s="57">
        <f t="shared" ca="1" si="64"/>
        <v>0</v>
      </c>
      <c r="L174" s="58">
        <f t="shared" ca="1" si="56"/>
        <v>0</v>
      </c>
      <c r="M174" s="59">
        <f t="shared" ca="1" si="57"/>
        <v>0</v>
      </c>
      <c r="N174" s="57">
        <f t="shared" ca="1" si="58"/>
        <v>0</v>
      </c>
      <c r="O174" s="261">
        <f t="shared" ca="1" si="59"/>
        <v>0</v>
      </c>
      <c r="P174" s="261">
        <f t="shared" ca="1" si="60"/>
        <v>0</v>
      </c>
      <c r="Q174" s="261">
        <f t="shared" ca="1" si="61"/>
        <v>0</v>
      </c>
    </row>
    <row r="175" spans="1:17" ht="19.5" thickBot="1">
      <c r="A175" s="56">
        <v>164</v>
      </c>
      <c r="B175" s="57">
        <f t="shared" ca="1" si="65"/>
        <v>0</v>
      </c>
      <c r="C175" s="58">
        <f ca="1">B174*$D$4</f>
        <v>0</v>
      </c>
      <c r="D175" s="59">
        <f t="shared" ca="1" si="55"/>
        <v>0</v>
      </c>
      <c r="E175" s="58">
        <f t="shared" ref="E175:E180" ca="1" si="72">IF(OR(C$6&gt;13.5,C175&lt;0.01),0,C$8-C175)</f>
        <v>0</v>
      </c>
      <c r="F175" s="59">
        <f t="shared" ca="1" si="49"/>
        <v>0</v>
      </c>
      <c r="G175" s="58">
        <f t="shared" ca="1" si="62"/>
        <v>0</v>
      </c>
      <c r="H175" s="56">
        <f t="shared" ca="1" si="63"/>
        <v>0</v>
      </c>
      <c r="J175" s="52">
        <f t="shared" si="66"/>
        <v>160</v>
      </c>
      <c r="K175" s="57">
        <f t="shared" ca="1" si="64"/>
        <v>0</v>
      </c>
      <c r="L175" s="58">
        <f t="shared" ca="1" si="56"/>
        <v>0</v>
      </c>
      <c r="M175" s="59">
        <f t="shared" ca="1" si="57"/>
        <v>0</v>
      </c>
      <c r="N175" s="57">
        <f t="shared" ca="1" si="58"/>
        <v>0</v>
      </c>
      <c r="O175" s="261">
        <f t="shared" ca="1" si="59"/>
        <v>0</v>
      </c>
      <c r="P175" s="261">
        <f t="shared" ca="1" si="60"/>
        <v>0</v>
      </c>
      <c r="Q175" s="261">
        <f t="shared" ca="1" si="61"/>
        <v>0</v>
      </c>
    </row>
    <row r="176" spans="1:17" ht="19.5" thickBot="1">
      <c r="A176" s="56">
        <v>165</v>
      </c>
      <c r="B176" s="57">
        <f t="shared" ca="1" si="65"/>
        <v>0</v>
      </c>
      <c r="C176" s="58">
        <f ca="1">IF(+$D$7=4,0,B175*$D$4)</f>
        <v>0</v>
      </c>
      <c r="D176" s="59">
        <f t="shared" ca="1" si="55"/>
        <v>0</v>
      </c>
      <c r="E176" s="58">
        <f t="shared" ca="1" si="72"/>
        <v>0</v>
      </c>
      <c r="F176" s="59">
        <f t="shared" ref="F176:F191" ca="1" si="73">IF(D176=0,0,F175+E176)</f>
        <v>0</v>
      </c>
      <c r="G176" s="58">
        <f t="shared" ca="1" si="62"/>
        <v>0</v>
      </c>
      <c r="H176" s="56">
        <f t="shared" ca="1" si="63"/>
        <v>0</v>
      </c>
      <c r="J176" s="52">
        <f t="shared" si="66"/>
        <v>161</v>
      </c>
      <c r="K176" s="57">
        <f t="shared" ca="1" si="64"/>
        <v>0</v>
      </c>
      <c r="L176" s="58">
        <f t="shared" ca="1" si="56"/>
        <v>0</v>
      </c>
      <c r="M176" s="59">
        <f t="shared" ca="1" si="57"/>
        <v>0</v>
      </c>
      <c r="N176" s="57">
        <f t="shared" ca="1" si="58"/>
        <v>0</v>
      </c>
      <c r="O176" s="261">
        <f t="shared" ca="1" si="59"/>
        <v>0</v>
      </c>
      <c r="P176" s="261">
        <f t="shared" ca="1" si="60"/>
        <v>0</v>
      </c>
      <c r="Q176" s="261">
        <f t="shared" ca="1" si="61"/>
        <v>0</v>
      </c>
    </row>
    <row r="177" spans="1:17" ht="19.5" thickBot="1">
      <c r="A177" s="56">
        <v>166</v>
      </c>
      <c r="B177" s="57">
        <f t="shared" ca="1" si="65"/>
        <v>0</v>
      </c>
      <c r="C177" s="58">
        <f ca="1">IF(+$D$7=4,0,B176*$D$4)</f>
        <v>0</v>
      </c>
      <c r="D177" s="59">
        <f t="shared" ca="1" si="55"/>
        <v>0</v>
      </c>
      <c r="E177" s="58">
        <f t="shared" ca="1" si="72"/>
        <v>0</v>
      </c>
      <c r="F177" s="59">
        <f t="shared" ca="1" si="73"/>
        <v>0</v>
      </c>
      <c r="G177" s="58">
        <f t="shared" ca="1" si="62"/>
        <v>0</v>
      </c>
      <c r="H177" s="56">
        <f t="shared" ca="1" si="63"/>
        <v>0</v>
      </c>
      <c r="J177" s="52">
        <f t="shared" si="66"/>
        <v>162</v>
      </c>
      <c r="K177" s="57">
        <f t="shared" ca="1" si="64"/>
        <v>0</v>
      </c>
      <c r="L177" s="58">
        <f t="shared" ca="1" si="56"/>
        <v>0</v>
      </c>
      <c r="M177" s="59">
        <f t="shared" ca="1" si="57"/>
        <v>0</v>
      </c>
      <c r="N177" s="57">
        <f t="shared" ca="1" si="58"/>
        <v>0</v>
      </c>
      <c r="O177" s="261">
        <f t="shared" ca="1" si="59"/>
        <v>0</v>
      </c>
      <c r="P177" s="261">
        <f t="shared" ca="1" si="60"/>
        <v>0</v>
      </c>
      <c r="Q177" s="261">
        <f t="shared" ca="1" si="61"/>
        <v>0</v>
      </c>
    </row>
    <row r="178" spans="1:17" ht="19.5" thickBot="1">
      <c r="A178" s="56">
        <v>167</v>
      </c>
      <c r="B178" s="57">
        <f t="shared" ca="1" si="65"/>
        <v>0</v>
      </c>
      <c r="C178" s="58">
        <f ca="1">B177*$D$4</f>
        <v>0</v>
      </c>
      <c r="D178" s="59">
        <f t="shared" ca="1" si="55"/>
        <v>0</v>
      </c>
      <c r="E178" s="58">
        <f t="shared" ca="1" si="72"/>
        <v>0</v>
      </c>
      <c r="F178" s="59">
        <f t="shared" ca="1" si="73"/>
        <v>0</v>
      </c>
      <c r="G178" s="58">
        <f t="shared" ca="1" si="62"/>
        <v>0</v>
      </c>
      <c r="H178" s="56">
        <f t="shared" ca="1" si="63"/>
        <v>0</v>
      </c>
      <c r="J178" s="52">
        <f t="shared" si="66"/>
        <v>163</v>
      </c>
      <c r="K178" s="57">
        <f t="shared" ca="1" si="64"/>
        <v>0</v>
      </c>
      <c r="L178" s="58">
        <f t="shared" ca="1" si="56"/>
        <v>0</v>
      </c>
      <c r="M178" s="59">
        <f t="shared" ca="1" si="57"/>
        <v>0</v>
      </c>
      <c r="N178" s="57">
        <f t="shared" ca="1" si="58"/>
        <v>0</v>
      </c>
      <c r="O178" s="261">
        <f t="shared" ca="1" si="59"/>
        <v>0</v>
      </c>
      <c r="P178" s="261">
        <f t="shared" ca="1" si="60"/>
        <v>0</v>
      </c>
      <c r="Q178" s="261">
        <f t="shared" ca="1" si="61"/>
        <v>0</v>
      </c>
    </row>
    <row r="179" spans="1:17" ht="19.5" thickBot="1">
      <c r="A179" s="56">
        <v>168</v>
      </c>
      <c r="B179" s="57">
        <f t="shared" ca="1" si="65"/>
        <v>0</v>
      </c>
      <c r="C179" s="58">
        <f ca="1">IF(+$D$7=4,0,B178*$D$4)</f>
        <v>0</v>
      </c>
      <c r="D179" s="59">
        <f t="shared" ca="1" si="55"/>
        <v>0</v>
      </c>
      <c r="E179" s="58">
        <f t="shared" ca="1" si="72"/>
        <v>0</v>
      </c>
      <c r="F179" s="59">
        <f t="shared" ca="1" si="73"/>
        <v>0</v>
      </c>
      <c r="G179" s="58">
        <f t="shared" ca="1" si="62"/>
        <v>0</v>
      </c>
      <c r="H179" s="56">
        <f t="shared" ca="1" si="63"/>
        <v>0</v>
      </c>
      <c r="J179" s="52">
        <f t="shared" si="66"/>
        <v>164</v>
      </c>
      <c r="K179" s="57">
        <f t="shared" ca="1" si="64"/>
        <v>0</v>
      </c>
      <c r="L179" s="58">
        <f t="shared" ca="1" si="56"/>
        <v>0</v>
      </c>
      <c r="M179" s="59">
        <f t="shared" ca="1" si="57"/>
        <v>0</v>
      </c>
      <c r="N179" s="57">
        <f t="shared" ca="1" si="58"/>
        <v>0</v>
      </c>
      <c r="O179" s="261">
        <f t="shared" ca="1" si="59"/>
        <v>0</v>
      </c>
      <c r="P179" s="261">
        <f t="shared" ca="1" si="60"/>
        <v>0</v>
      </c>
      <c r="Q179" s="261">
        <f t="shared" ca="1" si="61"/>
        <v>0</v>
      </c>
    </row>
    <row r="180" spans="1:17" ht="19.5" thickBot="1">
      <c r="A180" s="56">
        <v>169</v>
      </c>
      <c r="B180" s="57">
        <f t="shared" ca="1" si="65"/>
        <v>0</v>
      </c>
      <c r="C180" s="58">
        <f ca="1">IF(+$D$7=4,0,B179*$D$4)</f>
        <v>0</v>
      </c>
      <c r="D180" s="59">
        <f t="shared" ca="1" si="55"/>
        <v>0</v>
      </c>
      <c r="E180" s="58">
        <f t="shared" ca="1" si="72"/>
        <v>0</v>
      </c>
      <c r="F180" s="59">
        <f t="shared" ca="1" si="73"/>
        <v>0</v>
      </c>
      <c r="G180" s="58">
        <f t="shared" ca="1" si="62"/>
        <v>0</v>
      </c>
      <c r="H180" s="56">
        <f t="shared" ca="1" si="63"/>
        <v>0</v>
      </c>
      <c r="J180" s="52">
        <f t="shared" si="66"/>
        <v>165</v>
      </c>
      <c r="K180" s="57">
        <f t="shared" ca="1" si="64"/>
        <v>0</v>
      </c>
      <c r="L180" s="58">
        <f t="shared" ca="1" si="56"/>
        <v>0</v>
      </c>
      <c r="M180" s="59">
        <f t="shared" ca="1" si="57"/>
        <v>0</v>
      </c>
      <c r="N180" s="57">
        <f t="shared" ca="1" si="58"/>
        <v>0</v>
      </c>
      <c r="O180" s="261">
        <f t="shared" ca="1" si="59"/>
        <v>0</v>
      </c>
      <c r="P180" s="261">
        <f t="shared" ca="1" si="60"/>
        <v>0</v>
      </c>
      <c r="Q180" s="261">
        <f t="shared" ca="1" si="61"/>
        <v>0</v>
      </c>
    </row>
    <row r="181" spans="1:17" ht="19.5" thickBot="1">
      <c r="A181" s="56">
        <v>170</v>
      </c>
      <c r="B181" s="57">
        <f t="shared" ca="1" si="65"/>
        <v>0</v>
      </c>
      <c r="C181" s="58">
        <f ca="1">B180*$D$4</f>
        <v>0</v>
      </c>
      <c r="D181" s="59">
        <f t="shared" ca="1" si="55"/>
        <v>0</v>
      </c>
      <c r="E181" s="58">
        <f t="shared" ref="E181:E186" ca="1" si="74">IF(OR(C$6&gt;14,C181&lt;0.01),0,C$8-C181)</f>
        <v>0</v>
      </c>
      <c r="F181" s="59">
        <f t="shared" ca="1" si="73"/>
        <v>0</v>
      </c>
      <c r="G181" s="58">
        <f t="shared" ca="1" si="62"/>
        <v>0</v>
      </c>
      <c r="H181" s="56">
        <f t="shared" ca="1" si="63"/>
        <v>0</v>
      </c>
      <c r="J181" s="52">
        <f t="shared" si="66"/>
        <v>166</v>
      </c>
      <c r="K181" s="57">
        <f t="shared" ca="1" si="64"/>
        <v>0</v>
      </c>
      <c r="L181" s="58">
        <f t="shared" ca="1" si="56"/>
        <v>0</v>
      </c>
      <c r="M181" s="59">
        <f t="shared" ca="1" si="57"/>
        <v>0</v>
      </c>
      <c r="N181" s="57">
        <f t="shared" ca="1" si="58"/>
        <v>0</v>
      </c>
      <c r="O181" s="261">
        <f t="shared" ca="1" si="59"/>
        <v>0</v>
      </c>
      <c r="P181" s="261">
        <f t="shared" ca="1" si="60"/>
        <v>0</v>
      </c>
      <c r="Q181" s="261">
        <f t="shared" ca="1" si="61"/>
        <v>0</v>
      </c>
    </row>
    <row r="182" spans="1:17" ht="19.5" thickBot="1">
      <c r="A182" s="56">
        <v>171</v>
      </c>
      <c r="B182" s="57">
        <f t="shared" ca="1" si="65"/>
        <v>0</v>
      </c>
      <c r="C182" s="58">
        <f ca="1">IF(+$D$7=4,0,B181*$D$4)</f>
        <v>0</v>
      </c>
      <c r="D182" s="59">
        <f t="shared" ca="1" si="55"/>
        <v>0</v>
      </c>
      <c r="E182" s="58">
        <f t="shared" ca="1" si="74"/>
        <v>0</v>
      </c>
      <c r="F182" s="59">
        <f t="shared" ca="1" si="73"/>
        <v>0</v>
      </c>
      <c r="G182" s="58">
        <f t="shared" ca="1" si="62"/>
        <v>0</v>
      </c>
      <c r="H182" s="56">
        <f t="shared" ca="1" si="63"/>
        <v>0</v>
      </c>
      <c r="J182" s="52">
        <f t="shared" si="66"/>
        <v>167</v>
      </c>
      <c r="K182" s="57">
        <f t="shared" ca="1" si="64"/>
        <v>0</v>
      </c>
      <c r="L182" s="58">
        <f t="shared" ca="1" si="56"/>
        <v>0</v>
      </c>
      <c r="M182" s="59">
        <f t="shared" ca="1" si="57"/>
        <v>0</v>
      </c>
      <c r="N182" s="57">
        <f t="shared" ca="1" si="58"/>
        <v>0</v>
      </c>
      <c r="O182" s="261">
        <f t="shared" ca="1" si="59"/>
        <v>0</v>
      </c>
      <c r="P182" s="261">
        <f t="shared" ca="1" si="60"/>
        <v>0</v>
      </c>
      <c r="Q182" s="261">
        <f t="shared" ca="1" si="61"/>
        <v>0</v>
      </c>
    </row>
    <row r="183" spans="1:17" ht="19.5" thickBot="1">
      <c r="A183" s="56">
        <v>172</v>
      </c>
      <c r="B183" s="57">
        <f t="shared" ca="1" si="65"/>
        <v>0</v>
      </c>
      <c r="C183" s="58">
        <f ca="1">IF(+$D$7=4,0,B182*$D$4)</f>
        <v>0</v>
      </c>
      <c r="D183" s="59">
        <f t="shared" ca="1" si="55"/>
        <v>0</v>
      </c>
      <c r="E183" s="58">
        <f t="shared" ca="1" si="74"/>
        <v>0</v>
      </c>
      <c r="F183" s="59">
        <f t="shared" ca="1" si="73"/>
        <v>0</v>
      </c>
      <c r="G183" s="58">
        <f t="shared" ca="1" si="62"/>
        <v>0</v>
      </c>
      <c r="H183" s="56">
        <f t="shared" ca="1" si="63"/>
        <v>0</v>
      </c>
      <c r="J183" s="52">
        <f t="shared" si="66"/>
        <v>168</v>
      </c>
      <c r="K183" s="57">
        <f t="shared" ca="1" si="64"/>
        <v>0</v>
      </c>
      <c r="L183" s="58">
        <f t="shared" ca="1" si="56"/>
        <v>0</v>
      </c>
      <c r="M183" s="59">
        <f t="shared" ca="1" si="57"/>
        <v>0</v>
      </c>
      <c r="N183" s="57">
        <f t="shared" ca="1" si="58"/>
        <v>0</v>
      </c>
      <c r="O183" s="261">
        <f t="shared" ca="1" si="59"/>
        <v>0</v>
      </c>
      <c r="P183" s="261">
        <f t="shared" ca="1" si="60"/>
        <v>0</v>
      </c>
      <c r="Q183" s="261">
        <f t="shared" ca="1" si="61"/>
        <v>0</v>
      </c>
    </row>
    <row r="184" spans="1:17" ht="19.5" thickBot="1">
      <c r="A184" s="56">
        <v>173</v>
      </c>
      <c r="B184" s="57">
        <f t="shared" ca="1" si="65"/>
        <v>0</v>
      </c>
      <c r="C184" s="58">
        <f ca="1">B183*$D$4</f>
        <v>0</v>
      </c>
      <c r="D184" s="59">
        <f t="shared" ca="1" si="55"/>
        <v>0</v>
      </c>
      <c r="E184" s="58">
        <f t="shared" ca="1" si="74"/>
        <v>0</v>
      </c>
      <c r="F184" s="59">
        <f t="shared" ca="1" si="73"/>
        <v>0</v>
      </c>
      <c r="G184" s="58">
        <f t="shared" ca="1" si="62"/>
        <v>0</v>
      </c>
      <c r="H184" s="56">
        <f t="shared" ca="1" si="63"/>
        <v>0</v>
      </c>
      <c r="J184" s="52">
        <f t="shared" si="66"/>
        <v>169</v>
      </c>
      <c r="K184" s="57">
        <f t="shared" ca="1" si="64"/>
        <v>0</v>
      </c>
      <c r="L184" s="58">
        <f t="shared" ca="1" si="56"/>
        <v>0</v>
      </c>
      <c r="M184" s="59">
        <f t="shared" ca="1" si="57"/>
        <v>0</v>
      </c>
      <c r="N184" s="57">
        <f t="shared" ca="1" si="58"/>
        <v>0</v>
      </c>
      <c r="O184" s="261">
        <f t="shared" ca="1" si="59"/>
        <v>0</v>
      </c>
      <c r="P184" s="261">
        <f t="shared" ca="1" si="60"/>
        <v>0</v>
      </c>
      <c r="Q184" s="261">
        <f t="shared" ca="1" si="61"/>
        <v>0</v>
      </c>
    </row>
    <row r="185" spans="1:17" ht="19.5" thickBot="1">
      <c r="A185" s="56">
        <v>174</v>
      </c>
      <c r="B185" s="57">
        <f t="shared" ca="1" si="65"/>
        <v>0</v>
      </c>
      <c r="C185" s="58">
        <f ca="1">IF(+$D$7=4,0,B184*$D$4)</f>
        <v>0</v>
      </c>
      <c r="D185" s="59">
        <f t="shared" ca="1" si="55"/>
        <v>0</v>
      </c>
      <c r="E185" s="58">
        <f t="shared" ca="1" si="74"/>
        <v>0</v>
      </c>
      <c r="F185" s="59">
        <f t="shared" ca="1" si="73"/>
        <v>0</v>
      </c>
      <c r="G185" s="58">
        <f t="shared" ca="1" si="62"/>
        <v>0</v>
      </c>
      <c r="H185" s="56">
        <f t="shared" ca="1" si="63"/>
        <v>0</v>
      </c>
      <c r="J185" s="52">
        <f t="shared" si="66"/>
        <v>170</v>
      </c>
      <c r="K185" s="57">
        <f t="shared" ca="1" si="64"/>
        <v>0</v>
      </c>
      <c r="L185" s="58">
        <f t="shared" ca="1" si="56"/>
        <v>0</v>
      </c>
      <c r="M185" s="59">
        <f t="shared" ca="1" si="57"/>
        <v>0</v>
      </c>
      <c r="N185" s="57">
        <f t="shared" ca="1" si="58"/>
        <v>0</v>
      </c>
      <c r="O185" s="261">
        <f t="shared" ca="1" si="59"/>
        <v>0</v>
      </c>
      <c r="P185" s="261">
        <f t="shared" ca="1" si="60"/>
        <v>0</v>
      </c>
      <c r="Q185" s="261">
        <f t="shared" ca="1" si="61"/>
        <v>0</v>
      </c>
    </row>
    <row r="186" spans="1:17" ht="19.5" thickBot="1">
      <c r="A186" s="56">
        <v>175</v>
      </c>
      <c r="B186" s="57">
        <f t="shared" ca="1" si="65"/>
        <v>0</v>
      </c>
      <c r="C186" s="58">
        <f ca="1">IF(+$D$7=4,0,B185*$D$4)</f>
        <v>0</v>
      </c>
      <c r="D186" s="59">
        <f t="shared" ca="1" si="55"/>
        <v>0</v>
      </c>
      <c r="E186" s="58">
        <f t="shared" ca="1" si="74"/>
        <v>0</v>
      </c>
      <c r="F186" s="59">
        <f t="shared" ca="1" si="73"/>
        <v>0</v>
      </c>
      <c r="G186" s="58">
        <f t="shared" ca="1" si="62"/>
        <v>0</v>
      </c>
      <c r="H186" s="56">
        <f t="shared" ca="1" si="63"/>
        <v>0</v>
      </c>
      <c r="J186" s="52">
        <f t="shared" si="66"/>
        <v>171</v>
      </c>
      <c r="K186" s="57">
        <f t="shared" ca="1" si="64"/>
        <v>0</v>
      </c>
      <c r="L186" s="58">
        <f t="shared" ca="1" si="56"/>
        <v>0</v>
      </c>
      <c r="M186" s="59">
        <f t="shared" ca="1" si="57"/>
        <v>0</v>
      </c>
      <c r="N186" s="57">
        <f t="shared" ca="1" si="58"/>
        <v>0</v>
      </c>
      <c r="O186" s="261">
        <f t="shared" ca="1" si="59"/>
        <v>0</v>
      </c>
      <c r="P186" s="261">
        <f t="shared" ca="1" si="60"/>
        <v>0</v>
      </c>
      <c r="Q186" s="261">
        <f t="shared" ca="1" si="61"/>
        <v>0</v>
      </c>
    </row>
    <row r="187" spans="1:17" ht="19.5" thickBot="1">
      <c r="A187" s="56">
        <v>176</v>
      </c>
      <c r="B187" s="57">
        <f t="shared" ca="1" si="65"/>
        <v>0</v>
      </c>
      <c r="C187" s="58">
        <f ca="1">B186*$D$4</f>
        <v>0</v>
      </c>
      <c r="D187" s="59">
        <f t="shared" ca="1" si="55"/>
        <v>0</v>
      </c>
      <c r="E187" s="58">
        <f ca="1">IF(OR(C$6&gt;14.5,C187&lt;0.01),0,C$8-C187)</f>
        <v>0</v>
      </c>
      <c r="F187" s="59">
        <f t="shared" ca="1" si="73"/>
        <v>0</v>
      </c>
      <c r="G187" s="58">
        <f t="shared" ca="1" si="62"/>
        <v>0</v>
      </c>
      <c r="H187" s="56">
        <f t="shared" ca="1" si="63"/>
        <v>0</v>
      </c>
      <c r="J187" s="52">
        <f t="shared" si="66"/>
        <v>172</v>
      </c>
      <c r="K187" s="57">
        <f t="shared" ca="1" si="64"/>
        <v>0</v>
      </c>
      <c r="L187" s="58">
        <f t="shared" ca="1" si="56"/>
        <v>0</v>
      </c>
      <c r="M187" s="59">
        <f t="shared" ca="1" si="57"/>
        <v>0</v>
      </c>
      <c r="N187" s="57">
        <f t="shared" ca="1" si="58"/>
        <v>0</v>
      </c>
      <c r="O187" s="261">
        <f t="shared" ca="1" si="59"/>
        <v>0</v>
      </c>
      <c r="P187" s="261">
        <f t="shared" ca="1" si="60"/>
        <v>0</v>
      </c>
      <c r="Q187" s="261">
        <f t="shared" ca="1" si="61"/>
        <v>0</v>
      </c>
    </row>
    <row r="188" spans="1:17" ht="19.5" thickBot="1">
      <c r="A188" s="56">
        <v>177</v>
      </c>
      <c r="B188" s="57">
        <f ca="1">IF(B187&lt;1,0,B187-E188)</f>
        <v>0</v>
      </c>
      <c r="C188" s="58">
        <f ca="1">IF(+$D$7=4,0,B187*$D$4)</f>
        <v>0</v>
      </c>
      <c r="D188" s="59">
        <f ca="1">IF(B188=0,0,D187+C188)</f>
        <v>0</v>
      </c>
      <c r="E188" s="58">
        <f ca="1">IF(OR(C$6&gt;14.5,C188&lt;0.01),0,C$8-C188)</f>
        <v>0</v>
      </c>
      <c r="F188" s="59">
        <f t="shared" ca="1" si="73"/>
        <v>0</v>
      </c>
      <c r="G188" s="58">
        <f t="shared" ca="1" si="62"/>
        <v>0</v>
      </c>
      <c r="H188" s="56">
        <f t="shared" ca="1" si="63"/>
        <v>0</v>
      </c>
      <c r="J188" s="52">
        <f t="shared" si="66"/>
        <v>173</v>
      </c>
      <c r="K188" s="57">
        <f t="shared" ca="1" si="64"/>
        <v>0</v>
      </c>
      <c r="L188" s="58">
        <f t="shared" ca="1" si="56"/>
        <v>0</v>
      </c>
      <c r="M188" s="59">
        <f t="shared" ca="1" si="57"/>
        <v>0</v>
      </c>
      <c r="N188" s="57">
        <f t="shared" ca="1" si="58"/>
        <v>0</v>
      </c>
      <c r="O188" s="261">
        <f t="shared" ca="1" si="59"/>
        <v>0</v>
      </c>
      <c r="P188" s="261">
        <f t="shared" ca="1" si="60"/>
        <v>0</v>
      </c>
      <c r="Q188" s="261">
        <f t="shared" ca="1" si="61"/>
        <v>0</v>
      </c>
    </row>
    <row r="189" spans="1:17" ht="19.5" thickBot="1">
      <c r="A189" s="56">
        <v>178</v>
      </c>
      <c r="B189" s="57">
        <f ca="1">IF(B188&lt;1,0,B188-E189)</f>
        <v>0</v>
      </c>
      <c r="C189" s="58">
        <f ca="1">IF(+$D$7=4,0,B188*$D$4)</f>
        <v>0</v>
      </c>
      <c r="D189" s="59">
        <f ca="1">IF(B189=0,0,D188+C189)</f>
        <v>0</v>
      </c>
      <c r="E189" s="58">
        <f ca="1">IF(OR(C$6&gt;14.5,C189&lt;0.01),0,C$8-C189)</f>
        <v>0</v>
      </c>
      <c r="F189" s="59">
        <f t="shared" ca="1" si="73"/>
        <v>0</v>
      </c>
      <c r="G189" s="58">
        <f t="shared" ca="1" si="62"/>
        <v>0</v>
      </c>
      <c r="H189" s="56">
        <f t="shared" ca="1" si="63"/>
        <v>0</v>
      </c>
      <c r="J189" s="52">
        <f t="shared" si="66"/>
        <v>174</v>
      </c>
      <c r="K189" s="57">
        <f t="shared" ca="1" si="64"/>
        <v>0</v>
      </c>
      <c r="L189" s="58">
        <f t="shared" ca="1" si="56"/>
        <v>0</v>
      </c>
      <c r="M189" s="59">
        <f t="shared" ca="1" si="57"/>
        <v>0</v>
      </c>
      <c r="N189" s="57">
        <f t="shared" ca="1" si="58"/>
        <v>0</v>
      </c>
      <c r="O189" s="261">
        <f t="shared" ca="1" si="59"/>
        <v>0</v>
      </c>
      <c r="P189" s="261">
        <f t="shared" ca="1" si="60"/>
        <v>0</v>
      </c>
      <c r="Q189" s="261">
        <f t="shared" ca="1" si="61"/>
        <v>0</v>
      </c>
    </row>
    <row r="190" spans="1:17" ht="19.5" thickBot="1">
      <c r="A190" s="56">
        <v>179</v>
      </c>
      <c r="B190" s="57">
        <f ca="1">IF(B189&lt;1,0,B189-E190)</f>
        <v>0</v>
      </c>
      <c r="C190" s="58">
        <f ca="1">B189*$D$4</f>
        <v>0</v>
      </c>
      <c r="D190" s="59">
        <f ca="1">IF(B190=0,0,D189+C190)</f>
        <v>0</v>
      </c>
      <c r="E190" s="58">
        <f ca="1">IF(OR(C$6&gt;14.5,C190&lt;0.01),0,C$8-C190)</f>
        <v>0</v>
      </c>
      <c r="F190" s="59">
        <f t="shared" ca="1" si="73"/>
        <v>0</v>
      </c>
      <c r="G190" s="58">
        <f t="shared" ca="1" si="62"/>
        <v>0</v>
      </c>
      <c r="H190" s="56">
        <f t="shared" ca="1" si="63"/>
        <v>0</v>
      </c>
      <c r="J190" s="52">
        <f t="shared" si="66"/>
        <v>175</v>
      </c>
      <c r="K190" s="57">
        <f t="shared" ca="1" si="64"/>
        <v>0</v>
      </c>
      <c r="L190" s="58">
        <f t="shared" ca="1" si="56"/>
        <v>0</v>
      </c>
      <c r="M190" s="59">
        <f t="shared" ca="1" si="57"/>
        <v>0</v>
      </c>
      <c r="N190" s="57">
        <f t="shared" ca="1" si="58"/>
        <v>0</v>
      </c>
      <c r="O190" s="261">
        <f t="shared" ca="1" si="59"/>
        <v>0</v>
      </c>
      <c r="P190" s="261">
        <f t="shared" ca="1" si="60"/>
        <v>0</v>
      </c>
      <c r="Q190" s="261">
        <f t="shared" ca="1" si="61"/>
        <v>0</v>
      </c>
    </row>
    <row r="191" spans="1:17" ht="19.5" thickBot="1">
      <c r="A191" s="60">
        <v>180</v>
      </c>
      <c r="B191" s="61">
        <f ca="1">IF(B190&lt;1,0,B190-E191)</f>
        <v>0</v>
      </c>
      <c r="C191" s="58">
        <f ca="1">IF(+$D$7=4,0,B190*$D$4)</f>
        <v>0</v>
      </c>
      <c r="D191" s="62">
        <f ca="1">IF(B191=0,0,D190+C191)</f>
        <v>0</v>
      </c>
      <c r="E191" s="58">
        <f ca="1">IF(OR(C$6&gt;14.5,C191&lt;0.01),0,C$8-C191)</f>
        <v>0</v>
      </c>
      <c r="F191" s="62">
        <f t="shared" ca="1" si="73"/>
        <v>0</v>
      </c>
      <c r="G191" s="63">
        <f ca="1">IF(C191&lt;1,0,$C$8*A191)</f>
        <v>0</v>
      </c>
      <c r="H191" s="60">
        <f t="shared" ca="1" si="63"/>
        <v>0</v>
      </c>
      <c r="J191" s="52">
        <f t="shared" si="66"/>
        <v>176</v>
      </c>
      <c r="K191" s="57">
        <f t="shared" ca="1" si="64"/>
        <v>0</v>
      </c>
      <c r="L191" s="58">
        <f t="shared" ca="1" si="56"/>
        <v>0</v>
      </c>
      <c r="M191" s="59">
        <f t="shared" ca="1" si="57"/>
        <v>0</v>
      </c>
      <c r="N191" s="57">
        <f t="shared" ca="1" si="58"/>
        <v>0</v>
      </c>
      <c r="O191" s="261">
        <f t="shared" ca="1" si="59"/>
        <v>0</v>
      </c>
      <c r="P191" s="261">
        <f t="shared" ca="1" si="60"/>
        <v>0</v>
      </c>
      <c r="Q191" s="261">
        <f t="shared" ca="1" si="61"/>
        <v>0</v>
      </c>
    </row>
    <row r="192" spans="1:17" ht="19.5" thickBot="1">
      <c r="A192" s="64"/>
      <c r="B192" s="65" t="s">
        <v>63</v>
      </c>
      <c r="C192" s="66">
        <f ca="1">SUM(C12:C191)</f>
        <v>0</v>
      </c>
      <c r="D192" s="66"/>
      <c r="E192" s="66">
        <f ca="1">SUM(E12:E191)</f>
        <v>0</v>
      </c>
      <c r="F192" s="67"/>
      <c r="G192" s="66">
        <f ca="1">E192+C192</f>
        <v>0</v>
      </c>
      <c r="H192" s="64"/>
    </row>
  </sheetData>
  <sheetProtection sheet="1" objects="1" scenarios="1"/>
  <mergeCells count="3">
    <mergeCell ref="J2:U2"/>
    <mergeCell ref="V2:AG2"/>
    <mergeCell ref="AH2:AS2"/>
  </mergeCells>
  <conditionalFormatting sqref="J2:AS3">
    <cfRule type="cellIs" dxfId="44" priority="1" operator="equal">
      <formula>0</formula>
    </cfRule>
  </conditionalFormatting>
  <conditionalFormatting sqref="J2:AS3">
    <cfRule type="cellIs" dxfId="43" priority="2" operator="equal">
      <formula>0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7">
    <tabColor rgb="FF000000"/>
  </sheetPr>
  <dimension ref="A1:T48"/>
  <sheetViews>
    <sheetView workbookViewId="0">
      <selection activeCell="R9" sqref="R9"/>
    </sheetView>
  </sheetViews>
  <sheetFormatPr baseColWidth="10" defaultRowHeight="43.5" customHeight="1"/>
  <cols>
    <col min="1" max="1" width="3" bestFit="1" customWidth="1"/>
    <col min="4" max="4" width="2.7109375" customWidth="1"/>
    <col min="5" max="5" width="27.85546875" bestFit="1" customWidth="1"/>
    <col min="8" max="8" width="2.85546875" customWidth="1"/>
    <col min="11" max="11" width="3.85546875" customWidth="1"/>
    <col min="13" max="13" width="2.5703125" customWidth="1"/>
    <col min="14" max="14" width="36.5703125" customWidth="1"/>
    <col min="16" max="16" width="32" customWidth="1"/>
    <col min="18" max="18" width="23.140625" customWidth="1"/>
    <col min="20" max="20" width="27.42578125" customWidth="1"/>
  </cols>
  <sheetData>
    <row r="1" spans="1:20" ht="23.25" thickBot="1">
      <c r="B1" s="1" t="s">
        <v>19</v>
      </c>
      <c r="E1" s="1" t="s">
        <v>36</v>
      </c>
      <c r="F1" s="3" t="s">
        <v>37</v>
      </c>
      <c r="G1" s="175" t="s">
        <v>182</v>
      </c>
      <c r="I1" s="1391" t="s">
        <v>42</v>
      </c>
      <c r="J1" s="1391"/>
      <c r="L1" s="3" t="s">
        <v>75</v>
      </c>
      <c r="N1" s="3" t="s">
        <v>517</v>
      </c>
      <c r="O1" s="532" t="s">
        <v>518</v>
      </c>
      <c r="P1" s="1391" t="s">
        <v>575</v>
      </c>
      <c r="Q1" s="1391"/>
      <c r="R1" s="1391" t="s">
        <v>783</v>
      </c>
      <c r="S1" s="1391"/>
      <c r="T1" s="824" t="s">
        <v>517</v>
      </c>
    </row>
    <row r="2" spans="1:20" ht="43.5" customHeight="1">
      <c r="A2">
        <v>1</v>
      </c>
      <c r="B2" t="s">
        <v>7</v>
      </c>
      <c r="C2" t="s">
        <v>8</v>
      </c>
      <c r="E2" t="s">
        <v>24</v>
      </c>
      <c r="F2" s="4">
        <v>0.25</v>
      </c>
      <c r="G2" s="4">
        <v>0.21</v>
      </c>
      <c r="I2" t="s">
        <v>38</v>
      </c>
      <c r="L2" s="13">
        <v>0</v>
      </c>
      <c r="N2" t="s">
        <v>280</v>
      </c>
      <c r="P2" t="s">
        <v>522</v>
      </c>
      <c r="Q2" s="174" t="s">
        <v>526</v>
      </c>
      <c r="R2" t="s">
        <v>784</v>
      </c>
      <c r="S2" s="748">
        <v>1</v>
      </c>
      <c r="T2" t="s">
        <v>850</v>
      </c>
    </row>
    <row r="3" spans="1:20" ht="43.5" customHeight="1">
      <c r="A3">
        <v>2</v>
      </c>
      <c r="B3" t="s">
        <v>8</v>
      </c>
      <c r="C3" t="s">
        <v>9</v>
      </c>
      <c r="E3" t="s">
        <v>25</v>
      </c>
      <c r="F3" s="4">
        <v>0.25</v>
      </c>
      <c r="G3" s="4">
        <v>0</v>
      </c>
      <c r="I3" t="s">
        <v>39</v>
      </c>
      <c r="L3" s="13">
        <v>30</v>
      </c>
      <c r="N3" t="s">
        <v>281</v>
      </c>
      <c r="O3" s="533">
        <v>0.25</v>
      </c>
      <c r="P3" t="s">
        <v>523</v>
      </c>
      <c r="Q3" s="174" t="s">
        <v>527</v>
      </c>
      <c r="R3" t="s">
        <v>785</v>
      </c>
      <c r="S3" s="713">
        <v>2</v>
      </c>
      <c r="T3" s="713" t="s">
        <v>854</v>
      </c>
    </row>
    <row r="4" spans="1:20" ht="43.5" customHeight="1">
      <c r="A4">
        <v>3</v>
      </c>
      <c r="B4" t="s">
        <v>9</v>
      </c>
      <c r="C4" t="s">
        <v>10</v>
      </c>
      <c r="E4" t="s">
        <v>26</v>
      </c>
      <c r="F4" s="4">
        <v>0.2</v>
      </c>
      <c r="G4" s="4">
        <v>0.21</v>
      </c>
      <c r="I4" t="s">
        <v>6</v>
      </c>
      <c r="L4" s="13">
        <v>60</v>
      </c>
      <c r="N4" t="s">
        <v>283</v>
      </c>
      <c r="O4" s="533">
        <v>0.25</v>
      </c>
      <c r="P4" t="s">
        <v>524</v>
      </c>
      <c r="Q4" s="174" t="s">
        <v>528</v>
      </c>
      <c r="R4" t="s">
        <v>786</v>
      </c>
      <c r="S4" s="713">
        <v>4</v>
      </c>
      <c r="T4" s="713" t="s">
        <v>851</v>
      </c>
    </row>
    <row r="5" spans="1:20" ht="43.5" customHeight="1">
      <c r="A5">
        <v>4</v>
      </c>
      <c r="B5" t="s">
        <v>10</v>
      </c>
      <c r="C5" t="s">
        <v>11</v>
      </c>
      <c r="E5" t="s">
        <v>27</v>
      </c>
      <c r="F5" s="4">
        <v>0</v>
      </c>
      <c r="G5" s="4">
        <v>0.21</v>
      </c>
      <c r="I5" t="s">
        <v>40</v>
      </c>
      <c r="L5" s="13">
        <v>90</v>
      </c>
      <c r="N5" t="s">
        <v>796</v>
      </c>
      <c r="O5" s="533">
        <v>0.25</v>
      </c>
      <c r="R5" t="s">
        <v>787</v>
      </c>
      <c r="S5" s="713">
        <v>12</v>
      </c>
      <c r="T5" s="713" t="s">
        <v>852</v>
      </c>
    </row>
    <row r="6" spans="1:20" ht="43.5" customHeight="1">
      <c r="A6">
        <v>5</v>
      </c>
      <c r="B6" t="s">
        <v>11</v>
      </c>
      <c r="C6" t="s">
        <v>12</v>
      </c>
      <c r="E6" t="s">
        <v>28</v>
      </c>
      <c r="F6" s="4">
        <v>0.05</v>
      </c>
      <c r="G6" s="4">
        <v>0.21</v>
      </c>
      <c r="I6" t="s">
        <v>41</v>
      </c>
      <c r="L6" s="13">
        <v>120</v>
      </c>
      <c r="N6" t="s">
        <v>519</v>
      </c>
      <c r="O6" s="533">
        <v>0.2</v>
      </c>
      <c r="P6" t="s">
        <v>525</v>
      </c>
      <c r="Q6" s="271" t="s">
        <v>529</v>
      </c>
      <c r="T6" s="713" t="s">
        <v>853</v>
      </c>
    </row>
    <row r="7" spans="1:20" ht="43.5" customHeight="1">
      <c r="A7">
        <v>6</v>
      </c>
      <c r="B7" t="s">
        <v>12</v>
      </c>
      <c r="C7" t="s">
        <v>13</v>
      </c>
      <c r="E7" t="s">
        <v>29</v>
      </c>
      <c r="F7" s="4">
        <v>0.08</v>
      </c>
      <c r="G7" s="4">
        <v>0.21</v>
      </c>
      <c r="I7" t="s">
        <v>65</v>
      </c>
      <c r="N7" t="s">
        <v>520</v>
      </c>
      <c r="O7" s="533">
        <v>0.1</v>
      </c>
      <c r="T7" s="713" t="s">
        <v>818</v>
      </c>
    </row>
    <row r="8" spans="1:20" ht="43.5" customHeight="1">
      <c r="A8">
        <v>7</v>
      </c>
      <c r="B8" t="s">
        <v>13</v>
      </c>
      <c r="C8" t="s">
        <v>14</v>
      </c>
      <c r="E8" t="s">
        <v>30</v>
      </c>
      <c r="F8" s="4">
        <v>0.2</v>
      </c>
      <c r="G8" s="4">
        <v>0.21</v>
      </c>
      <c r="I8" t="s">
        <v>118</v>
      </c>
      <c r="N8" t="s">
        <v>521</v>
      </c>
      <c r="O8" s="533">
        <v>0.15</v>
      </c>
      <c r="P8" t="s">
        <v>359</v>
      </c>
      <c r="Q8" t="s">
        <v>530</v>
      </c>
      <c r="T8" s="713" t="s">
        <v>909</v>
      </c>
    </row>
    <row r="9" spans="1:20" ht="43.5" customHeight="1">
      <c r="A9">
        <v>8</v>
      </c>
      <c r="B9" t="s">
        <v>14</v>
      </c>
      <c r="C9" t="s">
        <v>15</v>
      </c>
      <c r="E9" t="s">
        <v>31</v>
      </c>
      <c r="F9" s="4">
        <v>0.2</v>
      </c>
      <c r="G9" s="4">
        <v>0.21</v>
      </c>
      <c r="N9" t="s">
        <v>282</v>
      </c>
      <c r="O9" s="533">
        <v>0.25</v>
      </c>
    </row>
    <row r="10" spans="1:20" ht="43.5" customHeight="1">
      <c r="A10">
        <v>9</v>
      </c>
      <c r="B10" t="s">
        <v>15</v>
      </c>
      <c r="C10" t="s">
        <v>16</v>
      </c>
      <c r="E10" t="s">
        <v>4</v>
      </c>
      <c r="F10" s="4">
        <v>0.2</v>
      </c>
      <c r="G10" s="4">
        <v>0.21</v>
      </c>
    </row>
    <row r="11" spans="1:20" ht="43.5" customHeight="1">
      <c r="A11">
        <v>10</v>
      </c>
      <c r="B11" t="s">
        <v>16</v>
      </c>
      <c r="C11" t="s">
        <v>17</v>
      </c>
      <c r="E11" t="s">
        <v>32</v>
      </c>
      <c r="F11" s="4">
        <v>0.2</v>
      </c>
      <c r="G11" s="4">
        <v>0.21</v>
      </c>
    </row>
    <row r="12" spans="1:20" ht="43.5" customHeight="1">
      <c r="A12">
        <v>11</v>
      </c>
      <c r="B12" t="s">
        <v>17</v>
      </c>
      <c r="C12" t="s">
        <v>18</v>
      </c>
      <c r="E12" t="s">
        <v>33</v>
      </c>
      <c r="F12" s="4">
        <v>0.2</v>
      </c>
      <c r="G12" s="4">
        <v>0.21</v>
      </c>
    </row>
    <row r="13" spans="1:20" ht="43.5" customHeight="1">
      <c r="A13">
        <v>12</v>
      </c>
      <c r="B13" t="s">
        <v>18</v>
      </c>
      <c r="C13" t="s">
        <v>7</v>
      </c>
      <c r="E13" t="s">
        <v>379</v>
      </c>
      <c r="F13" s="4">
        <v>0.2</v>
      </c>
      <c r="G13" s="4">
        <v>0.21</v>
      </c>
    </row>
    <row r="14" spans="1:20" ht="43.5" customHeight="1">
      <c r="E14" t="s">
        <v>3</v>
      </c>
      <c r="F14" s="4"/>
      <c r="G14" s="4">
        <v>0</v>
      </c>
    </row>
    <row r="15" spans="1:20" ht="43.5" customHeight="1">
      <c r="E15" t="s">
        <v>35</v>
      </c>
      <c r="F15" s="4"/>
      <c r="G15" s="4">
        <v>0.21</v>
      </c>
    </row>
    <row r="16" spans="1:20" ht="43.5" customHeight="1">
      <c r="B16" t="s">
        <v>341</v>
      </c>
      <c r="E16" t="s">
        <v>34</v>
      </c>
      <c r="F16" s="4"/>
      <c r="G16" s="4"/>
    </row>
    <row r="17" spans="2:5" ht="43.5" customHeight="1">
      <c r="B17" t="s">
        <v>277</v>
      </c>
      <c r="E17" t="s">
        <v>109</v>
      </c>
    </row>
    <row r="18" spans="2:5" ht="43.5" customHeight="1">
      <c r="B18" s="133" t="s">
        <v>384</v>
      </c>
    </row>
    <row r="19" spans="2:5" ht="43.5" customHeight="1">
      <c r="B19" s="133"/>
    </row>
    <row r="20" spans="2:5" ht="43.5" customHeight="1">
      <c r="B20" s="133"/>
    </row>
    <row r="21" spans="2:5" ht="43.5" customHeight="1">
      <c r="B21" s="133" t="s">
        <v>507</v>
      </c>
      <c r="C21">
        <v>1</v>
      </c>
    </row>
    <row r="22" spans="2:5" ht="43.5" customHeight="1">
      <c r="B22" s="133" t="s">
        <v>508</v>
      </c>
      <c r="C22">
        <v>2</v>
      </c>
    </row>
    <row r="23" spans="2:5" ht="43.5" customHeight="1">
      <c r="B23" s="133" t="s">
        <v>509</v>
      </c>
      <c r="C23">
        <v>3</v>
      </c>
    </row>
    <row r="24" spans="2:5" ht="43.5" customHeight="1">
      <c r="B24" s="133" t="s">
        <v>510</v>
      </c>
      <c r="C24">
        <v>4</v>
      </c>
    </row>
    <row r="25" spans="2:5" ht="43.5" customHeight="1">
      <c r="B25" s="133" t="s">
        <v>511</v>
      </c>
      <c r="C25">
        <v>5</v>
      </c>
    </row>
    <row r="26" spans="2:5" ht="43.5" customHeight="1">
      <c r="B26" s="133" t="s">
        <v>512</v>
      </c>
      <c r="C26">
        <v>6</v>
      </c>
    </row>
    <row r="27" spans="2:5" ht="43.5" customHeight="1">
      <c r="B27" s="133" t="s">
        <v>513</v>
      </c>
      <c r="C27">
        <v>7</v>
      </c>
    </row>
    <row r="28" spans="2:5" ht="43.5" customHeight="1">
      <c r="B28" s="133"/>
    </row>
    <row r="29" spans="2:5" ht="43.5" customHeight="1">
      <c r="B29" s="133"/>
    </row>
    <row r="30" spans="2:5" ht="43.5" customHeight="1">
      <c r="B30" s="133"/>
    </row>
    <row r="31" spans="2:5" ht="43.5" customHeight="1">
      <c r="B31" s="133"/>
    </row>
    <row r="32" spans="2:5" ht="43.5" customHeight="1">
      <c r="B32" s="133"/>
    </row>
    <row r="33" spans="2:2" ht="43.5" customHeight="1">
      <c r="B33" s="133"/>
    </row>
    <row r="34" spans="2:2" ht="43.5" customHeight="1">
      <c r="B34" s="133"/>
    </row>
    <row r="35" spans="2:2" ht="43.5" customHeight="1">
      <c r="B35" s="133"/>
    </row>
    <row r="36" spans="2:2" ht="43.5" customHeight="1">
      <c r="B36" s="133"/>
    </row>
    <row r="37" spans="2:2" ht="43.5" customHeight="1">
      <c r="B37" s="133"/>
    </row>
    <row r="38" spans="2:2" ht="43.5" customHeight="1">
      <c r="B38" s="133"/>
    </row>
    <row r="39" spans="2:2" ht="43.5" customHeight="1">
      <c r="B39" s="133"/>
    </row>
    <row r="40" spans="2:2" ht="43.5" customHeight="1">
      <c r="B40" s="133"/>
    </row>
    <row r="41" spans="2:2" ht="43.5" customHeight="1">
      <c r="B41" s="133"/>
    </row>
    <row r="42" spans="2:2" ht="43.5" customHeight="1">
      <c r="B42" s="133"/>
    </row>
    <row r="43" spans="2:2" ht="43.5" customHeight="1">
      <c r="B43" s="133"/>
    </row>
    <row r="44" spans="2:2" ht="43.5" customHeight="1">
      <c r="B44" s="133"/>
    </row>
    <row r="45" spans="2:2" ht="43.5" customHeight="1">
      <c r="B45" s="133"/>
    </row>
    <row r="46" spans="2:2" ht="43.5" customHeight="1">
      <c r="B46" s="133"/>
    </row>
    <row r="47" spans="2:2" ht="43.5" customHeight="1">
      <c r="B47" s="133"/>
    </row>
    <row r="48" spans="2:2" ht="43.5" customHeight="1">
      <c r="B48" s="133"/>
    </row>
  </sheetData>
  <mergeCells count="3">
    <mergeCell ref="I1:J1"/>
    <mergeCell ref="P1:Q1"/>
    <mergeCell ref="R1:S1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/>
  <dimension ref="A1:P47"/>
  <sheetViews>
    <sheetView zoomScale="115" zoomScaleNormal="115" workbookViewId="0"/>
  </sheetViews>
  <sheetFormatPr baseColWidth="10" defaultColWidth="11.42578125" defaultRowHeight="15"/>
  <cols>
    <col min="1" max="1" width="33.28515625" style="448" bestFit="1" customWidth="1"/>
    <col min="2" max="3" width="10.28515625" style="448" bestFit="1" customWidth="1"/>
    <col min="4" max="4" width="10.7109375" style="448" customWidth="1"/>
    <col min="5" max="16384" width="11.42578125" style="448"/>
  </cols>
  <sheetData>
    <row r="1" spans="1:14" ht="16.5" thickBot="1">
      <c r="A1" s="841" t="s">
        <v>819</v>
      </c>
      <c r="B1" s="841" t="str">
        <f>"Real "&amp;+'Inversión-Financiación'!G1-3</f>
        <v>Real 2018</v>
      </c>
      <c r="C1" s="841" t="str">
        <f>"Real "&amp;+'Inversión-Financiación'!G1-2</f>
        <v>Real 2019</v>
      </c>
      <c r="D1" s="1392" t="str">
        <f>"Estimación "&amp;+'Inversión-Financiación'!G1-1</f>
        <v>Estimación 2020</v>
      </c>
      <c r="E1" s="1392"/>
      <c r="F1" s="1392" t="str">
        <f>"Real/Proyección "&amp;+'Inversión-Financiación'!G1-1</f>
        <v>Real/Proyección 2020</v>
      </c>
      <c r="G1" s="1392"/>
      <c r="H1" s="1393">
        <f>+Resultados!C2</f>
        <v>2021</v>
      </c>
      <c r="I1" s="1394"/>
      <c r="J1" s="1393">
        <f>+Resultados!E2</f>
        <v>2022</v>
      </c>
      <c r="K1" s="1394"/>
      <c r="L1" s="1393">
        <f>+Resultados!G2</f>
        <v>2023</v>
      </c>
      <c r="M1" s="1394"/>
    </row>
    <row r="2" spans="1:14" ht="15.75">
      <c r="A2" s="817" t="s">
        <v>120</v>
      </c>
      <c r="B2" s="1121"/>
      <c r="C2" s="1123"/>
      <c r="D2" s="848"/>
      <c r="E2" s="814" t="str">
        <f>IF(ISERROR(+D2/D$2),"",(+D2/D$2))</f>
        <v/>
      </c>
      <c r="F2" s="848"/>
      <c r="G2" s="814" t="str">
        <f>IF(ISERROR(+F2/F$2),"",(+F2/F$2))</f>
        <v/>
      </c>
      <c r="H2" s="819">
        <f>+Resultados!C4</f>
        <v>0</v>
      </c>
      <c r="I2" s="814" t="str">
        <f>IF(ISERROR(+H2/H$2),"",(+H2/H$2))</f>
        <v/>
      </c>
      <c r="J2" s="819">
        <f>+Resultados!E4</f>
        <v>0</v>
      </c>
      <c r="K2" s="814" t="str">
        <f>IF(ISERROR(+J2/J$2),"",(+J2/J$2))</f>
        <v/>
      </c>
      <c r="L2" s="819">
        <f>+Resultados!G4</f>
        <v>0</v>
      </c>
      <c r="M2" s="814" t="str">
        <f>IF(ISERROR(+L2/L$2),"",(+L2/L$2))</f>
        <v/>
      </c>
    </row>
    <row r="3" spans="1:14" ht="20.25" customHeight="1">
      <c r="A3" s="817" t="s">
        <v>820</v>
      </c>
      <c r="B3" s="1122"/>
      <c r="C3" s="1124"/>
      <c r="D3" s="849"/>
      <c r="E3" s="816" t="str">
        <f t="shared" ref="E3:G14" si="0">IF(ISERROR(+D3/D$2),"",(+D3/D$2))</f>
        <v/>
      </c>
      <c r="F3" s="849"/>
      <c r="G3" s="816" t="str">
        <f t="shared" si="0"/>
        <v/>
      </c>
      <c r="H3" s="820">
        <f>+Resultados!C5+Resultados!C6</f>
        <v>0</v>
      </c>
      <c r="I3" s="816" t="str">
        <f t="shared" ref="I3:I14" si="1">IF(ISERROR(+H3/H$2),"",(+H3/H$2))</f>
        <v/>
      </c>
      <c r="J3" s="820">
        <f>+Resultados!E5+Resultados!E6</f>
        <v>0</v>
      </c>
      <c r="K3" s="816" t="str">
        <f t="shared" ref="K3:K14" si="2">IF(ISERROR(+J3/J$2),"",(+J3/J$2))</f>
        <v/>
      </c>
      <c r="L3" s="820">
        <f>+Resultados!G5+Resultados!G6</f>
        <v>0</v>
      </c>
      <c r="M3" s="816" t="str">
        <f t="shared" ref="M3:M14" si="3">IF(ISERROR(+L3/L$2),"",(+L3/L$2))</f>
        <v/>
      </c>
    </row>
    <row r="4" spans="1:14" ht="15.75">
      <c r="A4" s="812" t="s">
        <v>191</v>
      </c>
      <c r="B4" s="813">
        <f t="shared" ref="B4:C4" si="4">+B2+B3</f>
        <v>0</v>
      </c>
      <c r="C4" s="813">
        <f t="shared" si="4"/>
        <v>0</v>
      </c>
      <c r="D4" s="813">
        <f>+D2+D3</f>
        <v>0</v>
      </c>
      <c r="E4" s="814" t="str">
        <f t="shared" si="0"/>
        <v/>
      </c>
      <c r="F4" s="813">
        <f>+F2+F3</f>
        <v>0</v>
      </c>
      <c r="G4" s="814" t="str">
        <f t="shared" si="0"/>
        <v/>
      </c>
      <c r="H4" s="819">
        <f>+H2+H3</f>
        <v>0</v>
      </c>
      <c r="I4" s="814" t="str">
        <f t="shared" si="1"/>
        <v/>
      </c>
      <c r="J4" s="819">
        <f>+J2+J3</f>
        <v>0</v>
      </c>
      <c r="K4" s="814" t="str">
        <f t="shared" si="2"/>
        <v/>
      </c>
      <c r="L4" s="819">
        <f>+L2+L3</f>
        <v>0</v>
      </c>
      <c r="M4" s="814" t="str">
        <f t="shared" si="3"/>
        <v/>
      </c>
    </row>
    <row r="5" spans="1:14" ht="15.75">
      <c r="A5" s="817" t="s">
        <v>821</v>
      </c>
      <c r="B5" s="1122"/>
      <c r="C5" s="1124"/>
      <c r="D5" s="849"/>
      <c r="E5" s="816" t="str">
        <f t="shared" si="0"/>
        <v/>
      </c>
      <c r="F5" s="849"/>
      <c r="G5" s="816" t="str">
        <f>IF(ISERROR(+F5/F$2),"",(+F5/F$2))</f>
        <v/>
      </c>
      <c r="H5" s="820">
        <f>+Resultados!C10+Resultados!C11</f>
        <v>0</v>
      </c>
      <c r="I5" s="816" t="str">
        <f t="shared" si="1"/>
        <v/>
      </c>
      <c r="J5" s="820">
        <f>+Resultados!E10+Resultados!E11</f>
        <v>0</v>
      </c>
      <c r="K5" s="816" t="str">
        <f t="shared" si="2"/>
        <v/>
      </c>
      <c r="L5" s="820">
        <f>+Resultados!G10+Resultados!G11</f>
        <v>0</v>
      </c>
      <c r="M5" s="816" t="str">
        <f t="shared" si="3"/>
        <v/>
      </c>
    </row>
    <row r="6" spans="1:14" ht="15.75">
      <c r="A6" s="817" t="s">
        <v>822</v>
      </c>
      <c r="B6" s="1122"/>
      <c r="C6" s="1124"/>
      <c r="D6" s="849"/>
      <c r="E6" s="816" t="str">
        <f t="shared" si="0"/>
        <v/>
      </c>
      <c r="F6" s="849"/>
      <c r="G6" s="816" t="str">
        <f t="shared" si="0"/>
        <v/>
      </c>
      <c r="H6" s="820">
        <f>+Resultados!C12</f>
        <v>0</v>
      </c>
      <c r="I6" s="816" t="str">
        <f t="shared" si="1"/>
        <v/>
      </c>
      <c r="J6" s="820">
        <f>+Resultados!E12</f>
        <v>0</v>
      </c>
      <c r="K6" s="816" t="str">
        <f t="shared" si="2"/>
        <v/>
      </c>
      <c r="L6" s="820">
        <f>+Resultados!G12</f>
        <v>0</v>
      </c>
      <c r="M6" s="816" t="str">
        <f t="shared" si="3"/>
        <v/>
      </c>
    </row>
    <row r="7" spans="1:14" ht="15.75">
      <c r="A7" s="817" t="s">
        <v>823</v>
      </c>
      <c r="B7" s="1122"/>
      <c r="C7" s="1124"/>
      <c r="D7" s="849"/>
      <c r="E7" s="816" t="str">
        <f t="shared" si="0"/>
        <v/>
      </c>
      <c r="F7" s="849"/>
      <c r="G7" s="816" t="str">
        <f t="shared" si="0"/>
        <v/>
      </c>
      <c r="H7" s="820">
        <f>SUM(Resultados!C13:C16)</f>
        <v>0</v>
      </c>
      <c r="I7" s="816" t="str">
        <f t="shared" si="1"/>
        <v/>
      </c>
      <c r="J7" s="820">
        <f>SUM(Resultados!E13:E16)</f>
        <v>0</v>
      </c>
      <c r="K7" s="816" t="str">
        <f t="shared" si="2"/>
        <v/>
      </c>
      <c r="L7" s="820">
        <f>SUM(Resultados!G13:G16)</f>
        <v>0</v>
      </c>
      <c r="M7" s="816" t="str">
        <f t="shared" si="3"/>
        <v/>
      </c>
    </row>
    <row r="8" spans="1:14" ht="15.75">
      <c r="A8" s="812" t="s">
        <v>388</v>
      </c>
      <c r="B8" s="813">
        <f t="shared" ref="B8:C8" si="5">+B4+B5+B6+B7</f>
        <v>0</v>
      </c>
      <c r="C8" s="813">
        <f t="shared" si="5"/>
        <v>0</v>
      </c>
      <c r="D8" s="813">
        <f>+D4+D5+D6+D7</f>
        <v>0</v>
      </c>
      <c r="E8" s="814" t="str">
        <f t="shared" si="0"/>
        <v/>
      </c>
      <c r="F8" s="813">
        <f>+F4+F5+F6+F7</f>
        <v>0</v>
      </c>
      <c r="G8" s="814" t="str">
        <f t="shared" si="0"/>
        <v/>
      </c>
      <c r="H8" s="819">
        <f>+H4+H5+H6+H7</f>
        <v>0</v>
      </c>
      <c r="I8" s="814" t="str">
        <f t="shared" si="1"/>
        <v/>
      </c>
      <c r="J8" s="819">
        <f>+J4+J5+J6+J7</f>
        <v>0</v>
      </c>
      <c r="K8" s="814" t="str">
        <f t="shared" si="2"/>
        <v/>
      </c>
      <c r="L8" s="819">
        <f>+L4+L5+L6+L7</f>
        <v>0</v>
      </c>
      <c r="M8" s="814" t="str">
        <f t="shared" si="3"/>
        <v/>
      </c>
    </row>
    <row r="9" spans="1:14" ht="15.75">
      <c r="A9" s="817" t="s">
        <v>829</v>
      </c>
      <c r="B9" s="1122"/>
      <c r="C9" s="1124"/>
      <c r="D9" s="1125"/>
      <c r="E9" s="1126" t="str">
        <f t="shared" si="0"/>
        <v/>
      </c>
      <c r="F9" s="849"/>
      <c r="G9" s="816" t="str">
        <f t="shared" si="0"/>
        <v/>
      </c>
      <c r="H9" s="820">
        <f ca="1">+Resultados!C17+Resultados!C18</f>
        <v>0</v>
      </c>
      <c r="I9" s="816" t="str">
        <f t="shared" ca="1" si="1"/>
        <v/>
      </c>
      <c r="J9" s="820">
        <f ca="1">+Resultados!E17+Resultados!E18</f>
        <v>0</v>
      </c>
      <c r="K9" s="816" t="str">
        <f t="shared" ca="1" si="2"/>
        <v/>
      </c>
      <c r="L9" s="820">
        <f ca="1">+Resultados!G17+Resultados!G18</f>
        <v>0</v>
      </c>
      <c r="M9" s="816" t="str">
        <f t="shared" ca="1" si="3"/>
        <v/>
      </c>
    </row>
    <row r="10" spans="1:14" ht="15.75">
      <c r="A10" s="817" t="s">
        <v>128</v>
      </c>
      <c r="B10" s="1122"/>
      <c r="C10" s="1124"/>
      <c r="D10" s="849"/>
      <c r="E10" s="816" t="str">
        <f t="shared" si="0"/>
        <v/>
      </c>
      <c r="F10" s="849"/>
      <c r="G10" s="816" t="str">
        <f t="shared" si="0"/>
        <v/>
      </c>
      <c r="H10" s="820">
        <f ca="1">+Resultados!C19</f>
        <v>0</v>
      </c>
      <c r="I10" s="816" t="str">
        <f t="shared" ca="1" si="1"/>
        <v/>
      </c>
      <c r="J10" s="820">
        <f ca="1">+Resultados!E19</f>
        <v>0</v>
      </c>
      <c r="K10" s="816" t="str">
        <f t="shared" ca="1" si="2"/>
        <v/>
      </c>
      <c r="L10" s="820">
        <f ca="1">+Resultados!G19</f>
        <v>0</v>
      </c>
      <c r="M10" s="816" t="str">
        <f t="shared" ca="1" si="3"/>
        <v/>
      </c>
    </row>
    <row r="11" spans="1:14" ht="15.75">
      <c r="A11" s="812" t="s">
        <v>824</v>
      </c>
      <c r="B11" s="813">
        <f t="shared" ref="B11:C11" si="6">+B5+B6+B7+B9+B10</f>
        <v>0</v>
      </c>
      <c r="C11" s="813">
        <f t="shared" si="6"/>
        <v>0</v>
      </c>
      <c r="D11" s="813">
        <f>+D5+D6+D7+D9+D10</f>
        <v>0</v>
      </c>
      <c r="E11" s="814" t="str">
        <f t="shared" si="0"/>
        <v/>
      </c>
      <c r="F11" s="813">
        <f>+F5+F6+F7+F9+F10</f>
        <v>0</v>
      </c>
      <c r="G11" s="814" t="str">
        <f t="shared" si="0"/>
        <v/>
      </c>
      <c r="H11" s="819">
        <f ca="1">+H5+H6+H7+H9+H10</f>
        <v>0</v>
      </c>
      <c r="I11" s="814" t="str">
        <f t="shared" ca="1" si="1"/>
        <v/>
      </c>
      <c r="J11" s="819">
        <f ca="1">+J5+J6+J7+J9+J10</f>
        <v>0</v>
      </c>
      <c r="K11" s="814" t="str">
        <f t="shared" ca="1" si="2"/>
        <v/>
      </c>
      <c r="L11" s="819">
        <f ca="1">+L5+L6+L7+L9+L10</f>
        <v>0</v>
      </c>
      <c r="M11" s="814" t="str">
        <f t="shared" ca="1" si="3"/>
        <v/>
      </c>
    </row>
    <row r="12" spans="1:14" ht="15.75">
      <c r="A12" s="812" t="s">
        <v>825</v>
      </c>
      <c r="B12" s="813">
        <f t="shared" ref="B12:C12" si="7">+B8+B9+B10</f>
        <v>0</v>
      </c>
      <c r="C12" s="813">
        <f t="shared" si="7"/>
        <v>0</v>
      </c>
      <c r="D12" s="813">
        <f>+D8+D9+D10</f>
        <v>0</v>
      </c>
      <c r="E12" s="814" t="str">
        <f t="shared" si="0"/>
        <v/>
      </c>
      <c r="F12" s="813">
        <f>+F8+F9+F10</f>
        <v>0</v>
      </c>
      <c r="G12" s="814" t="str">
        <f t="shared" si="0"/>
        <v/>
      </c>
      <c r="H12" s="819">
        <f ca="1">+H8+H9+H10</f>
        <v>0</v>
      </c>
      <c r="I12" s="814" t="str">
        <f t="shared" ca="1" si="1"/>
        <v/>
      </c>
      <c r="J12" s="819">
        <f ca="1">+J8+J9+J10</f>
        <v>0</v>
      </c>
      <c r="K12" s="814" t="str">
        <f t="shared" ca="1" si="2"/>
        <v/>
      </c>
      <c r="L12" s="819">
        <f ca="1">+L8+L9+L10</f>
        <v>0</v>
      </c>
      <c r="M12" s="814" t="str">
        <f t="shared" ca="1" si="3"/>
        <v/>
      </c>
    </row>
    <row r="13" spans="1:14" ht="15.75">
      <c r="A13" s="812" t="s">
        <v>248</v>
      </c>
      <c r="B13" s="1121"/>
      <c r="C13" s="1123"/>
      <c r="D13" s="848"/>
      <c r="E13" s="816" t="str">
        <f t="shared" si="0"/>
        <v/>
      </c>
      <c r="F13" s="848"/>
      <c r="G13" s="816" t="str">
        <f t="shared" si="0"/>
        <v/>
      </c>
      <c r="H13" s="820">
        <f ca="1">+Resultados!C25</f>
        <v>0</v>
      </c>
      <c r="I13" s="816" t="str">
        <f t="shared" ca="1" si="1"/>
        <v/>
      </c>
      <c r="J13" s="820">
        <f ca="1">+Resultados!E25</f>
        <v>0</v>
      </c>
      <c r="K13" s="816" t="str">
        <f t="shared" ca="1" si="2"/>
        <v/>
      </c>
      <c r="L13" s="820">
        <f ca="1">+Resultados!G25</f>
        <v>0</v>
      </c>
      <c r="M13" s="816" t="str">
        <f t="shared" ca="1" si="3"/>
        <v/>
      </c>
      <c r="N13" s="815"/>
    </row>
    <row r="14" spans="1:14" ht="15.75">
      <c r="A14" s="248" t="s">
        <v>826</v>
      </c>
      <c r="B14" s="813">
        <f t="shared" ref="B14:C14" si="8">IF(ISERROR(-B11/C4),0,(-B11/C4))</f>
        <v>0</v>
      </c>
      <c r="C14" s="813">
        <f t="shared" si="8"/>
        <v>0</v>
      </c>
      <c r="D14" s="813">
        <f>IF(ISERROR(-D11/E4),0,(-D11/E4))</f>
        <v>0</v>
      </c>
      <c r="E14" s="814" t="str">
        <f t="shared" si="0"/>
        <v/>
      </c>
      <c r="F14" s="813">
        <f>IF(ISERROR(-F11/G4),0,(-F11/G4))</f>
        <v>0</v>
      </c>
      <c r="G14" s="814" t="str">
        <f t="shared" si="0"/>
        <v/>
      </c>
      <c r="H14" s="813">
        <f ca="1">IF(ISERROR(-H11/I4),0,(-H11/I4))</f>
        <v>0</v>
      </c>
      <c r="I14" s="814" t="str">
        <f t="shared" ca="1" si="1"/>
        <v/>
      </c>
      <c r="J14" s="813">
        <f ca="1">IF(ISERROR(-J11/K4),0,(-J11/K4))</f>
        <v>0</v>
      </c>
      <c r="K14" s="814" t="str">
        <f t="shared" ca="1" si="2"/>
        <v/>
      </c>
      <c r="L14" s="813">
        <f ca="1">IF(ISERROR(-L11/M4),0,(-L11/M4))</f>
        <v>0</v>
      </c>
      <c r="M14" s="814" t="str">
        <f t="shared" ca="1" si="3"/>
        <v/>
      </c>
      <c r="N14" s="815"/>
    </row>
    <row r="15" spans="1:14" ht="15.75">
      <c r="A15" s="815"/>
      <c r="B15" s="815"/>
      <c r="C15" s="815"/>
      <c r="D15" s="815"/>
      <c r="E15" s="815"/>
      <c r="F15" s="815"/>
      <c r="G15" s="815" t="s">
        <v>46</v>
      </c>
      <c r="H15" s="820"/>
      <c r="I15" s="820"/>
      <c r="J15" s="820"/>
      <c r="K15" s="820"/>
      <c r="L15" s="820"/>
      <c r="M15" s="815"/>
      <c r="N15" s="815"/>
    </row>
    <row r="16" spans="1:14" ht="4.5" customHeight="1" thickBot="1">
      <c r="D16" s="815"/>
      <c r="E16" s="815"/>
      <c r="F16" s="815"/>
      <c r="G16" s="815"/>
      <c r="H16" s="820"/>
      <c r="I16" s="820"/>
      <c r="J16" s="820"/>
      <c r="K16" s="820"/>
      <c r="L16" s="820"/>
      <c r="M16" s="815"/>
      <c r="N16" s="815"/>
    </row>
    <row r="17" spans="1:16" ht="19.5" thickBot="1">
      <c r="A17" s="842" t="s">
        <v>827</v>
      </c>
      <c r="B17" s="842"/>
      <c r="C17" s="842"/>
      <c r="D17" s="1392" t="str">
        <f>+D1</f>
        <v>Estimación 2020</v>
      </c>
      <c r="E17" s="1392"/>
      <c r="F17" s="1392" t="str">
        <f>+F1</f>
        <v>Real/Proyección 2020</v>
      </c>
      <c r="G17" s="1392"/>
      <c r="H17" s="1393">
        <f>+H1</f>
        <v>2021</v>
      </c>
      <c r="I17" s="1395"/>
      <c r="J17" s="1393">
        <f>+J1</f>
        <v>2022</v>
      </c>
      <c r="K17" s="1395"/>
      <c r="L17" s="1393">
        <f>+L1</f>
        <v>2023</v>
      </c>
      <c r="M17" s="1395"/>
      <c r="N17" s="815"/>
    </row>
    <row r="18" spans="1:16" s="797" customFormat="1" ht="15.75">
      <c r="A18" s="812" t="s">
        <v>101</v>
      </c>
      <c r="B18" s="812"/>
      <c r="C18" s="812"/>
      <c r="D18" s="819">
        <f>SUM(D19:D23)</f>
        <v>0</v>
      </c>
      <c r="E18" s="821" t="str">
        <f>IF(ISERROR(+D18/D$28),"",(+D18/D$28))</f>
        <v/>
      </c>
      <c r="F18" s="819">
        <f>SUM(F19:F23)</f>
        <v>0</v>
      </c>
      <c r="G18" s="814" t="str">
        <f>IF(ISERROR(+F18/F$28),"",(+F18/F$28))</f>
        <v/>
      </c>
      <c r="H18" s="819">
        <f ca="1">+Balance!D3</f>
        <v>0</v>
      </c>
      <c r="I18" s="814" t="str">
        <f ca="1">IF(ISERROR(+H18/H$28),"",(+H18/H$28))</f>
        <v/>
      </c>
      <c r="J18" s="819">
        <f ca="1">+Balance!F3</f>
        <v>0</v>
      </c>
      <c r="K18" s="814" t="str">
        <f ca="1">IF(ISERROR(+J18/J$28),"",(+J18/J$28))</f>
        <v/>
      </c>
      <c r="L18" s="819">
        <f ca="1">+Balance!H3</f>
        <v>0</v>
      </c>
      <c r="M18" s="814" t="str">
        <f ca="1">IF(ISERROR(+L18/L$28),"",(+L18/L$28))</f>
        <v/>
      </c>
      <c r="N18" s="813"/>
    </row>
    <row r="19" spans="1:16" ht="15.75">
      <c r="A19" s="694" t="s">
        <v>102</v>
      </c>
      <c r="B19" s="694"/>
      <c r="C19" s="694"/>
      <c r="D19" s="849"/>
      <c r="E19" s="816"/>
      <c r="F19" s="849"/>
      <c r="G19" s="816"/>
      <c r="H19" s="820"/>
      <c r="I19" s="816"/>
      <c r="J19" s="820"/>
      <c r="K19" s="816"/>
      <c r="L19" s="820"/>
      <c r="M19" s="816"/>
      <c r="N19" s="815"/>
    </row>
    <row r="20" spans="1:16" ht="15.75">
      <c r="A20" s="847" t="s">
        <v>891</v>
      </c>
      <c r="B20" s="847"/>
      <c r="C20" s="847"/>
      <c r="D20" s="849"/>
      <c r="E20" s="816"/>
      <c r="F20" s="849"/>
      <c r="G20" s="816"/>
      <c r="H20" s="820"/>
      <c r="I20" s="816"/>
      <c r="J20" s="820"/>
      <c r="K20" s="816"/>
      <c r="L20" s="820"/>
      <c r="M20" s="816"/>
      <c r="N20" s="815"/>
    </row>
    <row r="21" spans="1:16" ht="15.75">
      <c r="A21" s="694" t="s">
        <v>104</v>
      </c>
      <c r="B21" s="694"/>
      <c r="C21" s="694"/>
      <c r="D21" s="849"/>
      <c r="E21" s="816"/>
      <c r="F21" s="849"/>
      <c r="G21" s="816"/>
      <c r="H21" s="820"/>
      <c r="I21" s="816"/>
      <c r="J21" s="820"/>
      <c r="K21" s="816"/>
      <c r="L21" s="820"/>
      <c r="M21" s="816"/>
      <c r="N21" s="815"/>
      <c r="O21" s="448" t="s">
        <v>46</v>
      </c>
    </row>
    <row r="22" spans="1:16" ht="15.75">
      <c r="A22" s="847" t="s">
        <v>892</v>
      </c>
      <c r="B22" s="847"/>
      <c r="C22" s="847"/>
      <c r="D22" s="849"/>
      <c r="E22" s="816"/>
      <c r="F22" s="849"/>
      <c r="G22" s="816"/>
      <c r="H22" s="820"/>
      <c r="I22" s="816"/>
      <c r="J22" s="820"/>
      <c r="K22" s="816"/>
      <c r="L22" s="820"/>
      <c r="M22" s="816"/>
      <c r="N22" s="815"/>
      <c r="P22" s="448" t="s">
        <v>46</v>
      </c>
    </row>
    <row r="23" spans="1:16" ht="15.75">
      <c r="A23" s="694" t="s">
        <v>106</v>
      </c>
      <c r="B23" s="694"/>
      <c r="C23" s="694"/>
      <c r="D23" s="849"/>
      <c r="E23" s="816"/>
      <c r="F23" s="849"/>
      <c r="G23" s="816"/>
      <c r="H23" s="820"/>
      <c r="I23" s="816"/>
      <c r="J23" s="820"/>
      <c r="K23" s="816"/>
      <c r="L23" s="820"/>
      <c r="M23" s="816"/>
      <c r="N23" s="815"/>
    </row>
    <row r="24" spans="1:16" s="797" customFormat="1" ht="15.75">
      <c r="A24" s="812" t="s">
        <v>107</v>
      </c>
      <c r="B24" s="812"/>
      <c r="C24" s="812"/>
      <c r="D24" s="819">
        <f>SUM(D25:D27)</f>
        <v>0</v>
      </c>
      <c r="E24" s="821" t="str">
        <f t="shared" ref="E24" si="9">IF(ISERROR(+D24/D$28),"",(+D24/D$28))</f>
        <v/>
      </c>
      <c r="F24" s="819">
        <f>SUM(F25:F27)</f>
        <v>0</v>
      </c>
      <c r="G24" s="814" t="str">
        <f t="shared" ref="G24:I40" si="10">IF(ISERROR(+F24/F$28),"",(+F24/F$28))</f>
        <v/>
      </c>
      <c r="H24" s="819">
        <f ca="1">+Balance!D22</f>
        <v>0</v>
      </c>
      <c r="I24" s="814" t="str">
        <f t="shared" ca="1" si="10"/>
        <v/>
      </c>
      <c r="J24" s="819">
        <f ca="1">+Balance!F22</f>
        <v>0</v>
      </c>
      <c r="K24" s="814" t="str">
        <f t="shared" ref="K24:K40" ca="1" si="11">IF(ISERROR(+J24/J$28),"",(+J24/J$28))</f>
        <v/>
      </c>
      <c r="L24" s="819">
        <f ca="1">+Balance!H22</f>
        <v>0</v>
      </c>
      <c r="M24" s="814" t="str">
        <f t="shared" ref="M24:M40" ca="1" si="12">IF(ISERROR(+L24/L$28),"",(+L24/L$28))</f>
        <v/>
      </c>
      <c r="N24" s="813"/>
      <c r="P24" s="797" t="s">
        <v>46</v>
      </c>
    </row>
    <row r="25" spans="1:16" ht="15.75">
      <c r="A25" s="846" t="s">
        <v>35</v>
      </c>
      <c r="B25" s="846"/>
      <c r="C25" s="846"/>
      <c r="D25" s="849"/>
      <c r="E25" s="816"/>
      <c r="F25" s="849"/>
      <c r="G25" s="816"/>
      <c r="H25" s="820"/>
      <c r="I25" s="816"/>
      <c r="J25" s="820"/>
      <c r="K25" s="816"/>
      <c r="L25" s="820"/>
      <c r="M25" s="816"/>
      <c r="N25" s="815"/>
    </row>
    <row r="26" spans="1:16" ht="15.75">
      <c r="A26" s="846" t="s">
        <v>894</v>
      </c>
      <c r="B26" s="846"/>
      <c r="C26" s="846"/>
      <c r="D26" s="849"/>
      <c r="E26" s="816"/>
      <c r="F26" s="849"/>
      <c r="G26" s="816"/>
      <c r="H26" s="820"/>
      <c r="I26" s="816"/>
      <c r="J26" s="820"/>
      <c r="K26" s="816"/>
      <c r="L26" s="820"/>
      <c r="M26" s="816"/>
      <c r="N26" s="815"/>
    </row>
    <row r="27" spans="1:16" ht="15.75">
      <c r="A27" s="846" t="s">
        <v>111</v>
      </c>
      <c r="B27" s="846"/>
      <c r="C27" s="846"/>
      <c r="D27" s="849"/>
      <c r="E27" s="816"/>
      <c r="F27" s="849"/>
      <c r="G27" s="816"/>
      <c r="H27" s="820"/>
      <c r="I27" s="816"/>
      <c r="J27" s="820"/>
      <c r="K27" s="816"/>
      <c r="L27" s="820"/>
      <c r="M27" s="816"/>
      <c r="N27" s="815"/>
    </row>
    <row r="28" spans="1:16" ht="21">
      <c r="A28" s="145" t="s">
        <v>112</v>
      </c>
      <c r="B28" s="145"/>
      <c r="C28" s="145"/>
      <c r="D28" s="813">
        <f>+D18+D24</f>
        <v>0</v>
      </c>
      <c r="E28" s="814" t="str">
        <f t="shared" ref="E28" si="13">IF(ISERROR(+D28/D$28),"",(+D28/D$28))</f>
        <v/>
      </c>
      <c r="F28" s="813">
        <f>+F18+F24</f>
        <v>0</v>
      </c>
      <c r="G28" s="814" t="str">
        <f t="shared" si="10"/>
        <v/>
      </c>
      <c r="H28" s="813">
        <f ca="1">+H18+H24</f>
        <v>0</v>
      </c>
      <c r="I28" s="814" t="str">
        <f t="shared" ca="1" si="10"/>
        <v/>
      </c>
      <c r="J28" s="813">
        <f ca="1">+J18+J24</f>
        <v>0</v>
      </c>
      <c r="K28" s="814" t="str">
        <f t="shared" ca="1" si="11"/>
        <v/>
      </c>
      <c r="L28" s="813">
        <f ca="1">+L18+L24</f>
        <v>0</v>
      </c>
      <c r="M28" s="814" t="str">
        <f t="shared" ca="1" si="12"/>
        <v/>
      </c>
      <c r="N28" s="815"/>
    </row>
    <row r="29" spans="1:16" ht="15.75">
      <c r="A29" s="812"/>
      <c r="B29" s="812"/>
      <c r="C29" s="812"/>
      <c r="D29" s="813"/>
      <c r="E29" s="814"/>
      <c r="F29" s="813"/>
      <c r="G29" s="814"/>
      <c r="H29" s="819"/>
      <c r="I29" s="814"/>
      <c r="J29" s="819"/>
      <c r="K29" s="814"/>
      <c r="L29" s="819"/>
      <c r="M29" s="814"/>
      <c r="N29" s="815"/>
    </row>
    <row r="30" spans="1:16" s="797" customFormat="1" ht="15.75">
      <c r="A30" s="812" t="s">
        <v>114</v>
      </c>
      <c r="B30" s="812"/>
      <c r="C30" s="812"/>
      <c r="D30" s="819">
        <f>SUM(D31:D33)</f>
        <v>0</v>
      </c>
      <c r="E30" s="821" t="str">
        <f t="shared" ref="E30" si="14">IF(ISERROR(+D30/D$28),"",(+D30/D$28))</f>
        <v/>
      </c>
      <c r="F30" s="819">
        <f>SUM(F31:F33)</f>
        <v>0</v>
      </c>
      <c r="G30" s="814" t="str">
        <f t="shared" si="10"/>
        <v/>
      </c>
      <c r="H30" s="819">
        <f ca="1">+Balance!D33</f>
        <v>0</v>
      </c>
      <c r="I30" s="814" t="str">
        <f t="shared" ca="1" si="10"/>
        <v/>
      </c>
      <c r="J30" s="819">
        <f ca="1">+Balance!F33</f>
        <v>0</v>
      </c>
      <c r="K30" s="814" t="str">
        <f t="shared" ca="1" si="11"/>
        <v/>
      </c>
      <c r="L30" s="819">
        <f ca="1">+Balance!H33</f>
        <v>0</v>
      </c>
      <c r="M30" s="814" t="str">
        <f t="shared" ca="1" si="12"/>
        <v/>
      </c>
      <c r="N30" s="813"/>
    </row>
    <row r="31" spans="1:16" ht="15.75">
      <c r="A31" s="694" t="s">
        <v>38</v>
      </c>
      <c r="B31" s="694"/>
      <c r="C31" s="694"/>
      <c r="D31" s="849"/>
      <c r="E31" s="816"/>
      <c r="F31" s="849"/>
      <c r="G31" s="816"/>
      <c r="H31" s="820"/>
      <c r="I31" s="816"/>
      <c r="J31" s="820"/>
      <c r="K31" s="816"/>
      <c r="L31" s="820"/>
      <c r="M31" s="816"/>
      <c r="N31" s="815"/>
    </row>
    <row r="32" spans="1:16" ht="15.75">
      <c r="A32" s="694" t="s">
        <v>6</v>
      </c>
      <c r="B32" s="694"/>
      <c r="C32" s="694"/>
      <c r="D32" s="849"/>
      <c r="E32" s="816"/>
      <c r="F32" s="849"/>
      <c r="G32" s="816"/>
      <c r="H32" s="820"/>
      <c r="I32" s="816"/>
      <c r="J32" s="820"/>
      <c r="K32" s="816"/>
      <c r="L32" s="820"/>
      <c r="M32" s="816"/>
      <c r="N32" s="815"/>
    </row>
    <row r="33" spans="1:16" ht="15.75">
      <c r="A33" s="694" t="s">
        <v>39</v>
      </c>
      <c r="B33" s="694"/>
      <c r="C33" s="694"/>
      <c r="D33" s="849"/>
      <c r="E33" s="816"/>
      <c r="F33" s="849"/>
      <c r="G33" s="816"/>
      <c r="H33" s="820"/>
      <c r="I33" s="816"/>
      <c r="J33" s="820"/>
      <c r="K33" s="816"/>
      <c r="L33" s="820"/>
      <c r="M33" s="816"/>
      <c r="N33" s="815"/>
    </row>
    <row r="34" spans="1:16" s="797" customFormat="1" ht="15.75">
      <c r="A34" s="812" t="s">
        <v>116</v>
      </c>
      <c r="B34" s="812"/>
      <c r="C34" s="812"/>
      <c r="D34" s="819">
        <f>+D35</f>
        <v>0</v>
      </c>
      <c r="E34" s="821" t="str">
        <f t="shared" ref="E34" si="15">IF(ISERROR(+D34/D$28),"",(+D34/D$28))</f>
        <v/>
      </c>
      <c r="F34" s="819">
        <f>+F35</f>
        <v>0</v>
      </c>
      <c r="G34" s="821" t="str">
        <f t="shared" si="10"/>
        <v/>
      </c>
      <c r="H34" s="819">
        <f ca="1">+Balance!D40</f>
        <v>0</v>
      </c>
      <c r="I34" s="814" t="str">
        <f t="shared" ca="1" si="10"/>
        <v/>
      </c>
      <c r="J34" s="819">
        <f ca="1">+Balance!F40</f>
        <v>0</v>
      </c>
      <c r="K34" s="814" t="str">
        <f t="shared" ca="1" si="11"/>
        <v/>
      </c>
      <c r="L34" s="819">
        <f ca="1">+Balance!H40</f>
        <v>0</v>
      </c>
      <c r="M34" s="814" t="str">
        <f t="shared" ca="1" si="12"/>
        <v/>
      </c>
      <c r="N34" s="813"/>
    </row>
    <row r="35" spans="1:16" ht="15.75">
      <c r="A35" s="694" t="s">
        <v>893</v>
      </c>
      <c r="B35" s="694"/>
      <c r="C35" s="694"/>
      <c r="D35" s="849"/>
      <c r="E35" s="816"/>
      <c r="F35" s="849"/>
      <c r="G35" s="816"/>
      <c r="H35" s="820"/>
      <c r="I35" s="816"/>
      <c r="J35" s="820"/>
      <c r="K35" s="816"/>
      <c r="L35" s="820"/>
      <c r="M35" s="816"/>
      <c r="N35" s="815"/>
    </row>
    <row r="36" spans="1:16" s="797" customFormat="1" ht="15.75">
      <c r="A36" s="812" t="s">
        <v>117</v>
      </c>
      <c r="B36" s="812"/>
      <c r="C36" s="812"/>
      <c r="D36" s="819">
        <f>SUM(D37:D38)</f>
        <v>0</v>
      </c>
      <c r="E36" s="821" t="str">
        <f t="shared" ref="E36" si="16">IF(ISERROR(+D36/D$28),"",(+D36/D$28))</f>
        <v/>
      </c>
      <c r="F36" s="819">
        <f>SUM(F37:F39)</f>
        <v>0</v>
      </c>
      <c r="G36" s="814" t="str">
        <f t="shared" si="10"/>
        <v/>
      </c>
      <c r="H36" s="819">
        <f ca="1">+Balance!D42</f>
        <v>0</v>
      </c>
      <c r="I36" s="814" t="str">
        <f t="shared" ca="1" si="10"/>
        <v/>
      </c>
      <c r="J36" s="819">
        <f ca="1">+Balance!F42</f>
        <v>0</v>
      </c>
      <c r="K36" s="814" t="str">
        <f t="shared" ca="1" si="11"/>
        <v/>
      </c>
      <c r="L36" s="819">
        <f ca="1">+Balance!H42</f>
        <v>0</v>
      </c>
      <c r="M36" s="814" t="str">
        <f t="shared" ca="1" si="12"/>
        <v/>
      </c>
      <c r="N36" s="813"/>
    </row>
    <row r="37" spans="1:16" ht="15.75">
      <c r="A37" s="694" t="s">
        <v>224</v>
      </c>
      <c r="B37" s="694"/>
      <c r="C37" s="694"/>
      <c r="D37" s="849"/>
      <c r="E37" s="822"/>
      <c r="F37" s="849"/>
      <c r="G37" s="816"/>
      <c r="H37" s="820"/>
      <c r="I37" s="816"/>
      <c r="J37" s="820"/>
      <c r="K37" s="816"/>
      <c r="L37" s="820"/>
      <c r="M37" s="816"/>
      <c r="N37" s="815"/>
    </row>
    <row r="38" spans="1:16" ht="15.75">
      <c r="A38" s="694" t="s">
        <v>1255</v>
      </c>
      <c r="B38" s="694"/>
      <c r="C38" s="694"/>
      <c r="D38" s="849"/>
      <c r="E38" s="822"/>
      <c r="F38" s="849"/>
      <c r="G38" s="816"/>
      <c r="H38" s="820"/>
      <c r="I38" s="816"/>
      <c r="J38" s="820"/>
      <c r="K38" s="816"/>
      <c r="L38" s="820"/>
      <c r="M38" s="816"/>
      <c r="N38" s="815"/>
    </row>
    <row r="39" spans="1:16" ht="15.75">
      <c r="A39" s="694" t="s">
        <v>235</v>
      </c>
      <c r="B39" s="694"/>
      <c r="C39" s="694"/>
      <c r="D39" s="849"/>
      <c r="E39" s="822"/>
      <c r="F39" s="849"/>
      <c r="G39" s="816"/>
      <c r="H39" s="820"/>
      <c r="I39" s="816"/>
      <c r="J39" s="820"/>
      <c r="K39" s="816"/>
      <c r="L39" s="820"/>
      <c r="M39" s="816"/>
      <c r="N39" s="815"/>
    </row>
    <row r="40" spans="1:16" ht="21">
      <c r="A40" s="145" t="s">
        <v>119</v>
      </c>
      <c r="B40" s="145"/>
      <c r="C40" s="145"/>
      <c r="D40" s="813">
        <f>+D30+D34+D36</f>
        <v>0</v>
      </c>
      <c r="E40" s="814" t="str">
        <f t="shared" ref="E40" si="17">IF(ISERROR(+D40/D$28),"",(+D40/D$28))</f>
        <v/>
      </c>
      <c r="F40" s="813">
        <f>+F30+F34+F36</f>
        <v>0</v>
      </c>
      <c r="G40" s="814" t="str">
        <f t="shared" si="10"/>
        <v/>
      </c>
      <c r="H40" s="813">
        <f ca="1">+H30+H34+H36</f>
        <v>0</v>
      </c>
      <c r="I40" s="814" t="str">
        <f t="shared" ca="1" si="10"/>
        <v/>
      </c>
      <c r="J40" s="813">
        <f ca="1">+J30+J34+J36</f>
        <v>0</v>
      </c>
      <c r="K40" s="814" t="str">
        <f t="shared" ca="1" si="11"/>
        <v/>
      </c>
      <c r="L40" s="813">
        <f ca="1">+L30+L34+L36</f>
        <v>0</v>
      </c>
      <c r="M40" s="814" t="str">
        <f t="shared" ca="1" si="12"/>
        <v/>
      </c>
      <c r="N40" s="815"/>
    </row>
    <row r="41" spans="1:16">
      <c r="D41" s="773">
        <f>+D28-D40</f>
        <v>0</v>
      </c>
      <c r="F41" s="773">
        <f>+F28-F40</f>
        <v>0</v>
      </c>
      <c r="H41" s="773">
        <f ca="1">+H28-H40</f>
        <v>0</v>
      </c>
      <c r="J41" s="773">
        <f ca="1">+J28-J40</f>
        <v>0</v>
      </c>
      <c r="L41" s="773">
        <f ca="1">+L28-L40</f>
        <v>0</v>
      </c>
    </row>
    <row r="44" spans="1:16" ht="18.75">
      <c r="D44" s="15">
        <f>'Tesorería mensual'!C2</f>
        <v>44197</v>
      </c>
      <c r="E44" s="15">
        <f>'Tesorería mensual'!D2</f>
        <v>44228</v>
      </c>
      <c r="F44" s="15">
        <f>'Tesorería mensual'!E2</f>
        <v>44256</v>
      </c>
      <c r="G44" s="15">
        <f>'Tesorería mensual'!F2</f>
        <v>44287</v>
      </c>
      <c r="H44" s="15">
        <f>'Tesorería mensual'!G2</f>
        <v>44317</v>
      </c>
      <c r="I44" s="15">
        <f>'Tesorería mensual'!H2</f>
        <v>44348</v>
      </c>
      <c r="J44" s="15">
        <f>'Tesorería mensual'!I2</f>
        <v>44378</v>
      </c>
      <c r="K44" s="15">
        <f>'Tesorería mensual'!J2</f>
        <v>44409</v>
      </c>
      <c r="L44" s="15">
        <f>'Tesorería mensual'!K2</f>
        <v>44440</v>
      </c>
      <c r="M44" s="15">
        <f>'Tesorería mensual'!L2</f>
        <v>44470</v>
      </c>
      <c r="N44" s="15">
        <f>'Tesorería mensual'!M2</f>
        <v>44501</v>
      </c>
      <c r="O44" s="70">
        <f>'Tesorería mensual'!N2</f>
        <v>44531</v>
      </c>
      <c r="P44" s="851" t="s">
        <v>5</v>
      </c>
    </row>
    <row r="45" spans="1:16" ht="15.75">
      <c r="A45" s="448" t="s">
        <v>895</v>
      </c>
      <c r="D45" s="849"/>
      <c r="E45" s="849"/>
      <c r="F45" s="849"/>
      <c r="G45" s="849"/>
      <c r="H45" s="849"/>
      <c r="I45" s="849"/>
      <c r="J45" s="849"/>
      <c r="K45" s="849"/>
      <c r="L45" s="849"/>
      <c r="M45" s="849"/>
      <c r="N45" s="849"/>
      <c r="O45" s="849"/>
      <c r="P45" s="813">
        <f>SUM(D45:O45)</f>
        <v>0</v>
      </c>
    </row>
    <row r="46" spans="1:16" ht="15.75">
      <c r="A46" s="850" t="s">
        <v>1256</v>
      </c>
      <c r="B46" s="850"/>
      <c r="C46" s="850"/>
      <c r="D46" s="849"/>
      <c r="E46" s="849"/>
      <c r="F46" s="849"/>
      <c r="G46" s="849"/>
      <c r="H46" s="849"/>
      <c r="I46" s="849"/>
      <c r="J46" s="849"/>
      <c r="K46" s="849"/>
      <c r="L46" s="849"/>
      <c r="M46" s="849"/>
      <c r="N46" s="849"/>
      <c r="O46" s="849"/>
      <c r="P46" s="813">
        <f>SUM(D46:O46)</f>
        <v>0</v>
      </c>
    </row>
    <row r="47" spans="1:16" ht="15.75">
      <c r="A47" s="850" t="s">
        <v>1257</v>
      </c>
      <c r="B47" s="850"/>
      <c r="C47" s="850"/>
      <c r="D47" s="849"/>
      <c r="E47" s="849"/>
      <c r="F47" s="849"/>
      <c r="G47" s="849"/>
      <c r="H47" s="849"/>
      <c r="I47" s="849"/>
      <c r="J47" s="849"/>
      <c r="K47" s="849"/>
      <c r="L47" s="849"/>
      <c r="M47" s="849"/>
      <c r="N47" s="849"/>
      <c r="O47" s="849"/>
      <c r="P47" s="813">
        <f>SUM(D47:O47)</f>
        <v>0</v>
      </c>
    </row>
  </sheetData>
  <sheetProtection sheet="1" objects="1" scenarios="1"/>
  <mergeCells count="10">
    <mergeCell ref="D17:E17"/>
    <mergeCell ref="F17:G17"/>
    <mergeCell ref="H17:I17"/>
    <mergeCell ref="J17:K17"/>
    <mergeCell ref="L17:M17"/>
    <mergeCell ref="D1:E1"/>
    <mergeCell ref="F1:G1"/>
    <mergeCell ref="H1:I1"/>
    <mergeCell ref="J1:K1"/>
    <mergeCell ref="L1:M1"/>
  </mergeCells>
  <conditionalFormatting sqref="D44:O44">
    <cfRule type="cellIs" dxfId="42" priority="4" operator="equal">
      <formula>0</formula>
    </cfRule>
  </conditionalFormatting>
  <conditionalFormatting sqref="D44:O44">
    <cfRule type="cellIs" dxfId="41" priority="3" operator="equal">
      <formula>0</formula>
    </cfRule>
  </conditionalFormatting>
  <conditionalFormatting sqref="P44">
    <cfRule type="cellIs" dxfId="40" priority="2" operator="equal">
      <formula>0</formula>
    </cfRule>
  </conditionalFormatting>
  <conditionalFormatting sqref="P44">
    <cfRule type="cellIs" dxfId="39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0"/>
  <dimension ref="A1:E25"/>
  <sheetViews>
    <sheetView zoomScaleNormal="100" workbookViewId="0"/>
  </sheetViews>
  <sheetFormatPr baseColWidth="10" defaultRowHeight="15"/>
  <cols>
    <col min="1" max="1" width="6.85546875" customWidth="1"/>
    <col min="2" max="2" width="93.28515625" customWidth="1"/>
  </cols>
  <sheetData>
    <row r="1" spans="1:5" ht="21">
      <c r="B1" s="671">
        <f>Cuestionario!C5</f>
        <v>0</v>
      </c>
      <c r="C1" s="21"/>
      <c r="D1" s="21"/>
      <c r="E1" s="170">
        <f ca="1">TODAY()</f>
        <v>44309</v>
      </c>
    </row>
    <row r="2" spans="1:5" ht="21">
      <c r="B2" s="663"/>
      <c r="C2" s="21"/>
      <c r="D2" s="21"/>
    </row>
    <row r="3" spans="1:5" ht="15.75">
      <c r="A3" s="1397" t="s">
        <v>606</v>
      </c>
      <c r="B3" s="1397"/>
      <c r="C3" s="1397"/>
      <c r="D3" s="1397"/>
      <c r="E3" s="1397"/>
    </row>
    <row r="4" spans="1:5" ht="15.75">
      <c r="B4" s="664" t="s">
        <v>607</v>
      </c>
      <c r="C4" s="665"/>
      <c r="D4" s="665"/>
      <c r="E4" s="665"/>
    </row>
    <row r="5" spans="1:5">
      <c r="B5" s="665" t="s">
        <v>865</v>
      </c>
      <c r="C5" s="665"/>
      <c r="D5" s="665"/>
      <c r="E5" s="665"/>
    </row>
    <row r="6" spans="1:5" ht="15.75">
      <c r="B6" s="665" t="s">
        <v>608</v>
      </c>
      <c r="C6" s="666"/>
      <c r="D6" s="666"/>
      <c r="E6" s="666"/>
    </row>
    <row r="7" spans="1:5" ht="15.75">
      <c r="B7" s="665" t="s">
        <v>609</v>
      </c>
      <c r="C7" s="666"/>
      <c r="D7" s="666"/>
      <c r="E7" s="666"/>
    </row>
    <row r="8" spans="1:5" ht="15.75">
      <c r="B8" s="665" t="s">
        <v>610</v>
      </c>
      <c r="C8" s="666"/>
      <c r="D8" s="666"/>
      <c r="E8" s="666"/>
    </row>
    <row r="9" spans="1:5" ht="15.75">
      <c r="B9" s="665" t="s">
        <v>611</v>
      </c>
      <c r="C9" s="666"/>
      <c r="D9" s="666"/>
      <c r="E9" s="666"/>
    </row>
    <row r="10" spans="1:5" ht="15.75">
      <c r="B10" s="665" t="s">
        <v>612</v>
      </c>
      <c r="C10" s="667"/>
      <c r="D10" s="667"/>
      <c r="E10" s="667"/>
    </row>
    <row r="11" spans="1:5" ht="15.75">
      <c r="B11" s="665" t="s">
        <v>613</v>
      </c>
      <c r="C11" s="667"/>
      <c r="D11" s="667"/>
      <c r="E11" s="667"/>
    </row>
    <row r="12" spans="1:5" ht="15.75">
      <c r="B12" s="665" t="s">
        <v>614</v>
      </c>
      <c r="C12" s="668"/>
      <c r="D12" s="668"/>
      <c r="E12" s="668"/>
    </row>
    <row r="13" spans="1:5">
      <c r="B13" s="1396" t="s">
        <v>615</v>
      </c>
      <c r="C13" s="1396"/>
      <c r="D13" s="1396"/>
      <c r="E13" s="1396"/>
    </row>
    <row r="14" spans="1:5" ht="15.75">
      <c r="B14" s="665" t="s">
        <v>616</v>
      </c>
      <c r="C14" s="667"/>
      <c r="D14" s="667"/>
      <c r="E14" s="667"/>
    </row>
    <row r="15" spans="1:5">
      <c r="B15" s="1396" t="s">
        <v>617</v>
      </c>
      <c r="C15" s="1396"/>
      <c r="D15" s="1396"/>
      <c r="E15" s="1396"/>
    </row>
    <row r="16" spans="1:5" ht="15.75">
      <c r="A16" s="1398" t="s">
        <v>618</v>
      </c>
      <c r="B16" s="1398"/>
      <c r="C16" s="1398"/>
      <c r="D16" s="669"/>
      <c r="E16" s="669"/>
    </row>
    <row r="17" spans="2:5" ht="15.75">
      <c r="B17" s="665" t="s">
        <v>619</v>
      </c>
      <c r="C17" s="667"/>
      <c r="D17" s="667"/>
      <c r="E17" s="667"/>
    </row>
    <row r="18" spans="2:5" ht="26.25" customHeight="1">
      <c r="B18" s="1396" t="s">
        <v>620</v>
      </c>
      <c r="C18" s="1396"/>
      <c r="D18" s="1396"/>
      <c r="E18" s="1396"/>
    </row>
    <row r="19" spans="2:5" ht="26.25" customHeight="1">
      <c r="B19" s="665" t="s">
        <v>621</v>
      </c>
      <c r="C19" s="667"/>
      <c r="D19" s="667"/>
      <c r="E19" s="667"/>
    </row>
    <row r="20" spans="2:5" ht="15.75">
      <c r="B20" s="665" t="s">
        <v>622</v>
      </c>
      <c r="C20" s="667"/>
      <c r="D20" s="667"/>
      <c r="E20" s="667"/>
    </row>
    <row r="21" spans="2:5">
      <c r="B21" s="1396" t="s">
        <v>623</v>
      </c>
      <c r="C21" s="1396"/>
      <c r="D21" s="1396"/>
      <c r="E21" s="1396"/>
    </row>
    <row r="22" spans="2:5" ht="15.75">
      <c r="B22" s="670" t="s">
        <v>624</v>
      </c>
      <c r="C22" s="667"/>
      <c r="D22" s="667"/>
      <c r="E22" s="667"/>
    </row>
    <row r="23" spans="2:5" ht="18.75">
      <c r="B23" s="21"/>
      <c r="C23" s="21"/>
      <c r="D23" s="21"/>
    </row>
    <row r="25" spans="2:5" ht="18.75" customHeight="1"/>
  </sheetData>
  <mergeCells count="6">
    <mergeCell ref="B21:E21"/>
    <mergeCell ref="A3:E3"/>
    <mergeCell ref="B13:E13"/>
    <mergeCell ref="B15:E15"/>
    <mergeCell ref="A16:C16"/>
    <mergeCell ref="B18:E18"/>
  </mergeCells>
  <pageMargins left="0.7" right="0.7" top="0.75" bottom="0.75" header="0.3" footer="0.3"/>
  <pageSetup paperSize="9" scale="6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229-9530-4D69-A7F7-E696F9A5EE8B}">
  <sheetPr codeName="Hoja33">
    <tabColor rgb="FF92D050"/>
  </sheetPr>
  <dimension ref="A1:E91"/>
  <sheetViews>
    <sheetView workbookViewId="0">
      <selection activeCell="C15" sqref="C15"/>
    </sheetView>
  </sheetViews>
  <sheetFormatPr baseColWidth="10" defaultRowHeight="15"/>
  <cols>
    <col min="2" max="2" width="40.28515625" bestFit="1" customWidth="1"/>
    <col min="3" max="3" width="79.85546875" bestFit="1" customWidth="1"/>
    <col min="4" max="4" width="46.28515625" customWidth="1"/>
    <col min="5" max="5" width="40.28515625" bestFit="1" customWidth="1"/>
  </cols>
  <sheetData>
    <row r="1" spans="1:5">
      <c r="A1" s="1078" t="s">
        <v>516</v>
      </c>
      <c r="B1" s="1078" t="s">
        <v>910</v>
      </c>
      <c r="C1" s="1078" t="s">
        <v>911</v>
      </c>
      <c r="E1" s="1078" t="s">
        <v>1014</v>
      </c>
    </row>
    <row r="2" spans="1:5">
      <c r="A2">
        <v>1</v>
      </c>
      <c r="C2" t="s">
        <v>912</v>
      </c>
      <c r="E2" t="s">
        <v>916</v>
      </c>
    </row>
    <row r="3" spans="1:5">
      <c r="A3">
        <v>2</v>
      </c>
      <c r="C3" t="s">
        <v>913</v>
      </c>
      <c r="E3" t="s">
        <v>920</v>
      </c>
    </row>
    <row r="4" spans="1:5">
      <c r="A4">
        <v>3</v>
      </c>
      <c r="C4" t="s">
        <v>914</v>
      </c>
      <c r="E4" t="s">
        <v>927</v>
      </c>
    </row>
    <row r="5" spans="1:5">
      <c r="A5">
        <v>4</v>
      </c>
      <c r="C5" t="s">
        <v>915</v>
      </c>
      <c r="E5" t="s">
        <v>938</v>
      </c>
    </row>
    <row r="6" spans="1:5">
      <c r="A6">
        <v>5</v>
      </c>
      <c r="B6" t="s">
        <v>916</v>
      </c>
      <c r="C6" t="s">
        <v>917</v>
      </c>
      <c r="E6" t="s">
        <v>949</v>
      </c>
    </row>
    <row r="7" spans="1:5">
      <c r="A7">
        <v>6</v>
      </c>
      <c r="B7" t="s">
        <v>916</v>
      </c>
      <c r="C7" t="s">
        <v>918</v>
      </c>
      <c r="E7" t="s">
        <v>957</v>
      </c>
    </row>
    <row r="8" spans="1:5">
      <c r="A8">
        <v>7</v>
      </c>
      <c r="B8" t="s">
        <v>916</v>
      </c>
      <c r="C8" t="s">
        <v>919</v>
      </c>
      <c r="E8" t="s">
        <v>967</v>
      </c>
    </row>
    <row r="9" spans="1:5">
      <c r="A9">
        <v>8</v>
      </c>
      <c r="B9" t="s">
        <v>920</v>
      </c>
      <c r="C9" t="s">
        <v>921</v>
      </c>
      <c r="E9" t="s">
        <v>973</v>
      </c>
    </row>
    <row r="10" spans="1:5">
      <c r="A10">
        <v>9</v>
      </c>
      <c r="B10" t="s">
        <v>920</v>
      </c>
      <c r="C10" t="s">
        <v>922</v>
      </c>
      <c r="E10" t="s">
        <v>985</v>
      </c>
    </row>
    <row r="11" spans="1:5">
      <c r="A11">
        <v>10</v>
      </c>
      <c r="B11" t="s">
        <v>920</v>
      </c>
      <c r="C11" t="s">
        <v>923</v>
      </c>
      <c r="E11" t="s">
        <v>992</v>
      </c>
    </row>
    <row r="12" spans="1:5">
      <c r="A12">
        <v>11</v>
      </c>
      <c r="B12" t="s">
        <v>920</v>
      </c>
      <c r="C12" t="s">
        <v>924</v>
      </c>
      <c r="E12" t="s">
        <v>995</v>
      </c>
    </row>
    <row r="13" spans="1:5">
      <c r="A13">
        <v>12</v>
      </c>
      <c r="B13" t="s">
        <v>920</v>
      </c>
      <c r="C13" t="s">
        <v>925</v>
      </c>
      <c r="E13" t="s">
        <v>1002</v>
      </c>
    </row>
    <row r="14" spans="1:5">
      <c r="A14">
        <v>13</v>
      </c>
      <c r="B14" t="s">
        <v>920</v>
      </c>
      <c r="C14" t="s">
        <v>926</v>
      </c>
    </row>
    <row r="15" spans="1:5">
      <c r="A15">
        <v>14</v>
      </c>
      <c r="B15" t="s">
        <v>927</v>
      </c>
      <c r="C15" t="s">
        <v>928</v>
      </c>
    </row>
    <row r="16" spans="1:5">
      <c r="A16">
        <v>15</v>
      </c>
      <c r="B16" t="s">
        <v>927</v>
      </c>
      <c r="C16" t="s">
        <v>929</v>
      </c>
    </row>
    <row r="17" spans="1:3">
      <c r="A17">
        <v>16</v>
      </c>
      <c r="B17" t="s">
        <v>927</v>
      </c>
      <c r="C17" t="s">
        <v>930</v>
      </c>
    </row>
    <row r="18" spans="1:3">
      <c r="A18">
        <v>17</v>
      </c>
      <c r="B18" t="s">
        <v>927</v>
      </c>
      <c r="C18" t="s">
        <v>931</v>
      </c>
    </row>
    <row r="19" spans="1:3">
      <c r="A19">
        <v>18</v>
      </c>
      <c r="B19" t="s">
        <v>927</v>
      </c>
      <c r="C19" t="s">
        <v>932</v>
      </c>
    </row>
    <row r="20" spans="1:3">
      <c r="A20">
        <v>19</v>
      </c>
      <c r="B20" t="s">
        <v>927</v>
      </c>
      <c r="C20" t="s">
        <v>933</v>
      </c>
    </row>
    <row r="21" spans="1:3">
      <c r="A21">
        <v>20</v>
      </c>
      <c r="B21" t="s">
        <v>927</v>
      </c>
      <c r="C21" t="s">
        <v>934</v>
      </c>
    </row>
    <row r="22" spans="1:3">
      <c r="A22">
        <v>21</v>
      </c>
      <c r="B22" t="s">
        <v>927</v>
      </c>
      <c r="C22" t="s">
        <v>935</v>
      </c>
    </row>
    <row r="23" spans="1:3">
      <c r="A23">
        <v>22</v>
      </c>
      <c r="B23" t="s">
        <v>927</v>
      </c>
      <c r="C23" t="s">
        <v>936</v>
      </c>
    </row>
    <row r="24" spans="1:3">
      <c r="A24">
        <v>23</v>
      </c>
      <c r="B24" t="s">
        <v>927</v>
      </c>
      <c r="C24" t="s">
        <v>937</v>
      </c>
    </row>
    <row r="25" spans="1:3">
      <c r="A25">
        <v>24</v>
      </c>
      <c r="B25" t="s">
        <v>938</v>
      </c>
      <c r="C25" t="s">
        <v>939</v>
      </c>
    </row>
    <row r="26" spans="1:3">
      <c r="A26">
        <v>25</v>
      </c>
      <c r="B26" t="s">
        <v>938</v>
      </c>
      <c r="C26" t="s">
        <v>940</v>
      </c>
    </row>
    <row r="27" spans="1:3">
      <c r="A27">
        <v>26</v>
      </c>
      <c r="B27" t="s">
        <v>938</v>
      </c>
      <c r="C27" t="s">
        <v>941</v>
      </c>
    </row>
    <row r="28" spans="1:3">
      <c r="A28">
        <v>27</v>
      </c>
      <c r="B28" t="s">
        <v>938</v>
      </c>
      <c r="C28" t="s">
        <v>942</v>
      </c>
    </row>
    <row r="29" spans="1:3">
      <c r="A29">
        <v>28</v>
      </c>
      <c r="B29" t="s">
        <v>938</v>
      </c>
      <c r="C29" t="s">
        <v>943</v>
      </c>
    </row>
    <row r="30" spans="1:3">
      <c r="A30">
        <v>29</v>
      </c>
      <c r="B30" t="s">
        <v>938</v>
      </c>
      <c r="C30" t="s">
        <v>944</v>
      </c>
    </row>
    <row r="31" spans="1:3">
      <c r="A31">
        <v>30</v>
      </c>
      <c r="B31" t="s">
        <v>938</v>
      </c>
      <c r="C31" t="s">
        <v>945</v>
      </c>
    </row>
    <row r="32" spans="1:3">
      <c r="A32">
        <v>31</v>
      </c>
      <c r="B32" t="s">
        <v>938</v>
      </c>
      <c r="C32" t="s">
        <v>946</v>
      </c>
    </row>
    <row r="33" spans="1:3">
      <c r="A33">
        <v>32</v>
      </c>
      <c r="B33" t="s">
        <v>938</v>
      </c>
      <c r="C33" t="s">
        <v>947</v>
      </c>
    </row>
    <row r="34" spans="1:3">
      <c r="A34">
        <v>33</v>
      </c>
      <c r="B34" t="s">
        <v>938</v>
      </c>
      <c r="C34" t="s">
        <v>948</v>
      </c>
    </row>
    <row r="35" spans="1:3">
      <c r="A35">
        <v>34</v>
      </c>
      <c r="B35" t="s">
        <v>949</v>
      </c>
      <c r="C35" t="s">
        <v>950</v>
      </c>
    </row>
    <row r="36" spans="1:3">
      <c r="A36">
        <v>35</v>
      </c>
      <c r="B36" t="s">
        <v>949</v>
      </c>
      <c r="C36" t="s">
        <v>951</v>
      </c>
    </row>
    <row r="37" spans="1:3">
      <c r="A37">
        <v>36</v>
      </c>
      <c r="B37" t="s">
        <v>949</v>
      </c>
      <c r="C37" t="s">
        <v>952</v>
      </c>
    </row>
    <row r="38" spans="1:3">
      <c r="A38">
        <v>37</v>
      </c>
      <c r="B38" t="s">
        <v>949</v>
      </c>
      <c r="C38" t="s">
        <v>953</v>
      </c>
    </row>
    <row r="39" spans="1:3">
      <c r="A39">
        <v>38</v>
      </c>
      <c r="B39" t="s">
        <v>949</v>
      </c>
      <c r="C39" t="s">
        <v>954</v>
      </c>
    </row>
    <row r="40" spans="1:3">
      <c r="A40">
        <v>39</v>
      </c>
      <c r="B40" t="s">
        <v>949</v>
      </c>
      <c r="C40" t="s">
        <v>955</v>
      </c>
    </row>
    <row r="41" spans="1:3">
      <c r="A41">
        <v>40</v>
      </c>
      <c r="B41" t="s">
        <v>949</v>
      </c>
      <c r="C41" t="s">
        <v>956</v>
      </c>
    </row>
    <row r="42" spans="1:3">
      <c r="A42">
        <v>41</v>
      </c>
      <c r="B42" t="s">
        <v>957</v>
      </c>
      <c r="C42" t="s">
        <v>958</v>
      </c>
    </row>
    <row r="43" spans="1:3">
      <c r="A43">
        <v>42</v>
      </c>
      <c r="B43" t="s">
        <v>957</v>
      </c>
      <c r="C43" t="s">
        <v>959</v>
      </c>
    </row>
    <row r="44" spans="1:3">
      <c r="A44">
        <v>43</v>
      </c>
      <c r="B44" t="s">
        <v>957</v>
      </c>
      <c r="C44" t="s">
        <v>960</v>
      </c>
    </row>
    <row r="45" spans="1:3">
      <c r="A45">
        <v>44</v>
      </c>
      <c r="B45" t="s">
        <v>957</v>
      </c>
      <c r="C45" t="s">
        <v>961</v>
      </c>
    </row>
    <row r="46" spans="1:3">
      <c r="A46">
        <v>45</v>
      </c>
      <c r="B46" t="s">
        <v>957</v>
      </c>
      <c r="C46" t="s">
        <v>962</v>
      </c>
    </row>
    <row r="47" spans="1:3">
      <c r="A47">
        <v>46</v>
      </c>
      <c r="B47" t="s">
        <v>957</v>
      </c>
      <c r="C47" t="s">
        <v>963</v>
      </c>
    </row>
    <row r="48" spans="1:3">
      <c r="A48">
        <v>47</v>
      </c>
      <c r="B48" t="s">
        <v>957</v>
      </c>
      <c r="C48" t="s">
        <v>964</v>
      </c>
    </row>
    <row r="49" spans="1:3">
      <c r="A49">
        <v>48</v>
      </c>
      <c r="B49" t="s">
        <v>957</v>
      </c>
      <c r="C49" t="s">
        <v>965</v>
      </c>
    </row>
    <row r="50" spans="1:3">
      <c r="A50">
        <v>49</v>
      </c>
      <c r="B50" t="s">
        <v>957</v>
      </c>
      <c r="C50" t="s">
        <v>966</v>
      </c>
    </row>
    <row r="51" spans="1:3">
      <c r="A51">
        <v>50</v>
      </c>
      <c r="B51" t="s">
        <v>967</v>
      </c>
      <c r="C51" t="s">
        <v>968</v>
      </c>
    </row>
    <row r="52" spans="1:3">
      <c r="A52">
        <v>51</v>
      </c>
      <c r="B52" t="s">
        <v>967</v>
      </c>
      <c r="C52" t="s">
        <v>969</v>
      </c>
    </row>
    <row r="53" spans="1:3">
      <c r="A53">
        <v>52</v>
      </c>
      <c r="B53" t="s">
        <v>967</v>
      </c>
      <c r="C53" t="s">
        <v>970</v>
      </c>
    </row>
    <row r="54" spans="1:3">
      <c r="A54">
        <v>53</v>
      </c>
      <c r="B54" t="s">
        <v>967</v>
      </c>
      <c r="C54" t="s">
        <v>971</v>
      </c>
    </row>
    <row r="55" spans="1:3">
      <c r="A55">
        <v>54</v>
      </c>
      <c r="B55" t="s">
        <v>967</v>
      </c>
      <c r="C55" t="s">
        <v>972</v>
      </c>
    </row>
    <row r="56" spans="1:3">
      <c r="A56">
        <v>55</v>
      </c>
      <c r="B56" t="s">
        <v>973</v>
      </c>
      <c r="C56" t="s">
        <v>974</v>
      </c>
    </row>
    <row r="57" spans="1:3">
      <c r="A57">
        <v>56</v>
      </c>
      <c r="B57" t="s">
        <v>973</v>
      </c>
      <c r="C57" t="s">
        <v>975</v>
      </c>
    </row>
    <row r="58" spans="1:3">
      <c r="A58">
        <v>57</v>
      </c>
      <c r="B58" t="s">
        <v>973</v>
      </c>
      <c r="C58" t="s">
        <v>976</v>
      </c>
    </row>
    <row r="59" spans="1:3">
      <c r="A59">
        <v>58</v>
      </c>
      <c r="B59" t="s">
        <v>973</v>
      </c>
      <c r="C59" t="s">
        <v>977</v>
      </c>
    </row>
    <row r="60" spans="1:3">
      <c r="A60">
        <v>59</v>
      </c>
      <c r="B60" t="s">
        <v>973</v>
      </c>
      <c r="C60" t="s">
        <v>978</v>
      </c>
    </row>
    <row r="61" spans="1:3">
      <c r="A61">
        <v>60</v>
      </c>
      <c r="B61" t="s">
        <v>973</v>
      </c>
      <c r="C61" t="s">
        <v>979</v>
      </c>
    </row>
    <row r="62" spans="1:3">
      <c r="A62">
        <v>61</v>
      </c>
      <c r="B62" t="s">
        <v>973</v>
      </c>
      <c r="C62" t="s">
        <v>980</v>
      </c>
    </row>
    <row r="63" spans="1:3">
      <c r="A63">
        <v>62</v>
      </c>
      <c r="B63" t="s">
        <v>973</v>
      </c>
      <c r="C63" t="s">
        <v>981</v>
      </c>
    </row>
    <row r="64" spans="1:3">
      <c r="A64">
        <v>63</v>
      </c>
      <c r="B64" t="s">
        <v>973</v>
      </c>
      <c r="C64" t="s">
        <v>982</v>
      </c>
    </row>
    <row r="65" spans="1:3">
      <c r="A65">
        <v>64</v>
      </c>
      <c r="B65" t="s">
        <v>973</v>
      </c>
      <c r="C65" t="s">
        <v>983</v>
      </c>
    </row>
    <row r="66" spans="1:3">
      <c r="A66">
        <v>65</v>
      </c>
      <c r="B66" t="s">
        <v>973</v>
      </c>
      <c r="C66" t="s">
        <v>984</v>
      </c>
    </row>
    <row r="67" spans="1:3">
      <c r="A67">
        <v>66</v>
      </c>
      <c r="B67" t="s">
        <v>985</v>
      </c>
      <c r="C67" t="s">
        <v>986</v>
      </c>
    </row>
    <row r="68" spans="1:3">
      <c r="A68">
        <v>67</v>
      </c>
      <c r="B68" t="s">
        <v>985</v>
      </c>
      <c r="C68" t="s">
        <v>987</v>
      </c>
    </row>
    <row r="69" spans="1:3">
      <c r="A69">
        <v>68</v>
      </c>
      <c r="B69" t="s">
        <v>985</v>
      </c>
      <c r="C69" t="s">
        <v>988</v>
      </c>
    </row>
    <row r="70" spans="1:3">
      <c r="A70">
        <v>69</v>
      </c>
      <c r="B70" t="s">
        <v>985</v>
      </c>
      <c r="C70" t="s">
        <v>989</v>
      </c>
    </row>
    <row r="71" spans="1:3">
      <c r="A71">
        <v>70</v>
      </c>
      <c r="B71" t="s">
        <v>985</v>
      </c>
      <c r="C71" t="s">
        <v>990</v>
      </c>
    </row>
    <row r="72" spans="1:3">
      <c r="A72">
        <v>71</v>
      </c>
      <c r="B72" t="s">
        <v>985</v>
      </c>
      <c r="C72" t="s">
        <v>991</v>
      </c>
    </row>
    <row r="73" spans="1:3">
      <c r="A73">
        <v>72</v>
      </c>
      <c r="B73" t="s">
        <v>992</v>
      </c>
      <c r="C73" t="s">
        <v>993</v>
      </c>
    </row>
    <row r="74" spans="1:3">
      <c r="A74">
        <v>73</v>
      </c>
      <c r="B74" t="s">
        <v>992</v>
      </c>
      <c r="C74" t="s">
        <v>994</v>
      </c>
    </row>
    <row r="75" spans="1:3">
      <c r="A75">
        <v>74</v>
      </c>
      <c r="B75" t="s">
        <v>995</v>
      </c>
      <c r="C75" t="s">
        <v>996</v>
      </c>
    </row>
    <row r="76" spans="1:3">
      <c r="A76">
        <v>75</v>
      </c>
      <c r="B76" t="s">
        <v>995</v>
      </c>
      <c r="C76" t="s">
        <v>997</v>
      </c>
    </row>
    <row r="77" spans="1:3">
      <c r="A77">
        <v>76</v>
      </c>
      <c r="B77" t="s">
        <v>995</v>
      </c>
      <c r="C77" t="s">
        <v>998</v>
      </c>
    </row>
    <row r="78" spans="1:3">
      <c r="A78">
        <v>77</v>
      </c>
      <c r="B78" t="s">
        <v>995</v>
      </c>
      <c r="C78" t="s">
        <v>999</v>
      </c>
    </row>
    <row r="79" spans="1:3">
      <c r="A79">
        <v>78</v>
      </c>
      <c r="B79" t="s">
        <v>995</v>
      </c>
      <c r="C79" t="s">
        <v>1000</v>
      </c>
    </row>
    <row r="80" spans="1:3">
      <c r="A80">
        <v>79</v>
      </c>
      <c r="B80" t="s">
        <v>995</v>
      </c>
      <c r="C80" t="s">
        <v>1001</v>
      </c>
    </row>
    <row r="81" spans="1:3">
      <c r="A81">
        <v>80</v>
      </c>
      <c r="B81" t="s">
        <v>1002</v>
      </c>
      <c r="C81" t="s">
        <v>1003</v>
      </c>
    </row>
    <row r="82" spans="1:3">
      <c r="A82">
        <v>81</v>
      </c>
      <c r="B82" t="s">
        <v>1002</v>
      </c>
      <c r="C82" t="s">
        <v>1004</v>
      </c>
    </row>
    <row r="83" spans="1:3">
      <c r="A83">
        <v>82</v>
      </c>
      <c r="B83" t="s">
        <v>1002</v>
      </c>
      <c r="C83" t="s">
        <v>1005</v>
      </c>
    </row>
    <row r="84" spans="1:3">
      <c r="A84">
        <v>83</v>
      </c>
      <c r="B84" t="s">
        <v>1002</v>
      </c>
      <c r="C84" t="s">
        <v>1006</v>
      </c>
    </row>
    <row r="85" spans="1:3">
      <c r="A85">
        <v>84</v>
      </c>
      <c r="B85" t="s">
        <v>1002</v>
      </c>
      <c r="C85" t="s">
        <v>1007</v>
      </c>
    </row>
    <row r="86" spans="1:3">
      <c r="A86">
        <v>85</v>
      </c>
      <c r="B86" t="s">
        <v>1002</v>
      </c>
      <c r="C86" t="s">
        <v>1008</v>
      </c>
    </row>
    <row r="87" spans="1:3">
      <c r="A87">
        <v>86</v>
      </c>
      <c r="B87" t="s">
        <v>1002</v>
      </c>
      <c r="C87" t="s">
        <v>1009</v>
      </c>
    </row>
    <row r="88" spans="1:3">
      <c r="A88">
        <v>87</v>
      </c>
      <c r="B88" t="s">
        <v>1002</v>
      </c>
      <c r="C88" t="s">
        <v>1010</v>
      </c>
    </row>
    <row r="89" spans="1:3">
      <c r="A89">
        <v>88</v>
      </c>
      <c r="B89" t="s">
        <v>1002</v>
      </c>
      <c r="C89" t="s">
        <v>1011</v>
      </c>
    </row>
    <row r="90" spans="1:3">
      <c r="A90">
        <v>89</v>
      </c>
      <c r="B90" t="s">
        <v>1002</v>
      </c>
      <c r="C90" t="s">
        <v>1012</v>
      </c>
    </row>
    <row r="91" spans="1:3">
      <c r="A91">
        <v>90</v>
      </c>
      <c r="B91" t="s">
        <v>1002</v>
      </c>
      <c r="C91" t="s">
        <v>1013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1"/>
  <dimension ref="A1:B62"/>
  <sheetViews>
    <sheetView zoomScaleNormal="100" workbookViewId="0"/>
  </sheetViews>
  <sheetFormatPr baseColWidth="10" defaultRowHeight="15"/>
  <cols>
    <col min="1" max="1" width="57.140625" style="713" customWidth="1"/>
    <col min="2" max="2" width="56.5703125" style="713" customWidth="1"/>
  </cols>
  <sheetData>
    <row r="1" spans="1:2" s="687" customFormat="1" ht="15.75">
      <c r="A1" s="696" t="s">
        <v>669</v>
      </c>
    </row>
    <row r="2" spans="1:2" s="687" customFormat="1" ht="16.5" thickBot="1">
      <c r="A2" s="696" t="s">
        <v>439</v>
      </c>
      <c r="B2" s="687" t="s">
        <v>440</v>
      </c>
    </row>
    <row r="3" spans="1:2" ht="15.75" thickBot="1">
      <c r="A3" s="697" t="s">
        <v>636</v>
      </c>
      <c r="B3" s="698" t="s">
        <v>637</v>
      </c>
    </row>
    <row r="4" spans="1:2" ht="42.75">
      <c r="A4" s="699" t="s">
        <v>697</v>
      </c>
      <c r="B4" s="700" t="s">
        <v>698</v>
      </c>
    </row>
    <row r="5" spans="1:2" ht="57">
      <c r="A5" s="699" t="s">
        <v>699</v>
      </c>
      <c r="B5" s="701" t="s">
        <v>700</v>
      </c>
    </row>
    <row r="6" spans="1:2" ht="28.5">
      <c r="A6" s="699" t="s">
        <v>701</v>
      </c>
      <c r="B6" s="702"/>
    </row>
    <row r="7" spans="1:2" ht="42.75">
      <c r="A7" s="699" t="s">
        <v>702</v>
      </c>
      <c r="B7" s="701" t="s">
        <v>703</v>
      </c>
    </row>
    <row r="8" spans="1:2">
      <c r="A8" s="699" t="s">
        <v>692</v>
      </c>
      <c r="B8" s="701" t="s">
        <v>693</v>
      </c>
    </row>
    <row r="9" spans="1:2" ht="28.5">
      <c r="A9" s="699" t="s">
        <v>694</v>
      </c>
      <c r="B9" s="701" t="s">
        <v>695</v>
      </c>
    </row>
    <row r="10" spans="1:2" ht="38.25" customHeight="1" thickBot="1">
      <c r="A10" s="699" t="s">
        <v>696</v>
      </c>
      <c r="B10" s="701" t="s">
        <v>897</v>
      </c>
    </row>
    <row r="11" spans="1:2" ht="15.75" thickBot="1">
      <c r="A11" s="697" t="s">
        <v>638</v>
      </c>
      <c r="B11" s="698" t="s">
        <v>639</v>
      </c>
    </row>
    <row r="12" spans="1:2" ht="42.75">
      <c r="A12" s="699" t="s">
        <v>704</v>
      </c>
      <c r="B12" s="703" t="s">
        <v>705</v>
      </c>
    </row>
    <row r="13" spans="1:2" ht="28.5">
      <c r="A13" s="699" t="s">
        <v>706</v>
      </c>
      <c r="B13" s="703" t="s">
        <v>707</v>
      </c>
    </row>
    <row r="14" spans="1:2" ht="29.25" thickBot="1">
      <c r="A14" s="699" t="s">
        <v>708</v>
      </c>
      <c r="B14" s="703" t="s">
        <v>709</v>
      </c>
    </row>
    <row r="15" spans="1:2" ht="15.75" thickBot="1">
      <c r="A15" s="697" t="s">
        <v>640</v>
      </c>
      <c r="B15" s="698" t="s">
        <v>641</v>
      </c>
    </row>
    <row r="16" spans="1:2" ht="57">
      <c r="A16" s="704" t="s">
        <v>710</v>
      </c>
      <c r="B16" s="705" t="s">
        <v>711</v>
      </c>
    </row>
    <row r="17" spans="1:2" ht="43.5" thickBot="1">
      <c r="A17" s="706" t="s">
        <v>712</v>
      </c>
      <c r="B17" s="707" t="s">
        <v>713</v>
      </c>
    </row>
    <row r="18" spans="1:2" s="686" customFormat="1" ht="16.5" thickBot="1">
      <c r="A18" s="708" t="s">
        <v>642</v>
      </c>
    </row>
    <row r="19" spans="1:2" ht="15.75" thickBot="1">
      <c r="A19" s="697" t="s">
        <v>643</v>
      </c>
      <c r="B19" s="698" t="s">
        <v>644</v>
      </c>
    </row>
    <row r="20" spans="1:2" ht="42.75">
      <c r="A20" s="699" t="s">
        <v>714</v>
      </c>
      <c r="B20" s="703" t="s">
        <v>715</v>
      </c>
    </row>
    <row r="21" spans="1:2" ht="28.5">
      <c r="A21" s="699" t="s">
        <v>716</v>
      </c>
      <c r="B21" s="703" t="s">
        <v>717</v>
      </c>
    </row>
    <row r="22" spans="1:2" ht="29.25" thickBot="1">
      <c r="A22" s="699" t="s">
        <v>718</v>
      </c>
      <c r="B22" s="709"/>
    </row>
    <row r="23" spans="1:2" ht="15.75" thickBot="1">
      <c r="A23" s="697" t="s">
        <v>645</v>
      </c>
      <c r="B23" s="698" t="s">
        <v>646</v>
      </c>
    </row>
    <row r="24" spans="1:2" ht="28.5">
      <c r="A24" s="699" t="s">
        <v>719</v>
      </c>
      <c r="B24" s="703" t="s">
        <v>720</v>
      </c>
    </row>
    <row r="25" spans="1:2" ht="29.25" thickBot="1">
      <c r="A25" s="699" t="s">
        <v>721</v>
      </c>
      <c r="B25" s="703" t="s">
        <v>722</v>
      </c>
    </row>
    <row r="26" spans="1:2" ht="15.75" thickBot="1">
      <c r="A26" s="697" t="s">
        <v>647</v>
      </c>
      <c r="B26" s="698" t="s">
        <v>648</v>
      </c>
    </row>
    <row r="27" spans="1:2" ht="42.75">
      <c r="A27" s="699" t="s">
        <v>723</v>
      </c>
      <c r="B27" s="703" t="s">
        <v>724</v>
      </c>
    </row>
    <row r="28" spans="1:2">
      <c r="A28" s="699"/>
      <c r="B28" s="703"/>
    </row>
    <row r="29" spans="1:2" ht="57.75" thickBot="1">
      <c r="A29" s="699" t="s">
        <v>725</v>
      </c>
      <c r="B29" s="703" t="s">
        <v>726</v>
      </c>
    </row>
    <row r="30" spans="1:2" ht="15.75" thickBot="1">
      <c r="A30" s="697" t="s">
        <v>649</v>
      </c>
      <c r="B30" s="698" t="s">
        <v>650</v>
      </c>
    </row>
    <row r="31" spans="1:2" ht="28.5">
      <c r="A31" s="699" t="s">
        <v>727</v>
      </c>
      <c r="B31" s="703" t="s">
        <v>728</v>
      </c>
    </row>
    <row r="32" spans="1:2">
      <c r="A32" s="699"/>
      <c r="B32" s="703"/>
    </row>
    <row r="33" spans="1:2" ht="28.5">
      <c r="A33" s="699" t="s">
        <v>729</v>
      </c>
      <c r="B33" s="703" t="s">
        <v>730</v>
      </c>
    </row>
    <row r="34" spans="1:2" ht="29.25" thickBot="1">
      <c r="A34" s="699" t="s">
        <v>731</v>
      </c>
      <c r="B34" s="709"/>
    </row>
    <row r="35" spans="1:2" ht="15.75" thickBot="1">
      <c r="A35" s="697" t="s">
        <v>651</v>
      </c>
      <c r="B35" s="698" t="s">
        <v>652</v>
      </c>
    </row>
    <row r="36" spans="1:2">
      <c r="A36" s="699" t="s">
        <v>732</v>
      </c>
      <c r="B36" s="700" t="s">
        <v>733</v>
      </c>
    </row>
    <row r="37" spans="1:2" ht="28.5">
      <c r="A37" s="699" t="s">
        <v>734</v>
      </c>
      <c r="B37" s="701" t="s">
        <v>735</v>
      </c>
    </row>
    <row r="38" spans="1:2" ht="15.75" thickBot="1">
      <c r="A38" s="699" t="s">
        <v>736</v>
      </c>
      <c r="B38" s="710" t="s">
        <v>737</v>
      </c>
    </row>
    <row r="39" spans="1:2" s="686" customFormat="1" ht="16.5" thickBot="1">
      <c r="A39" s="708" t="s">
        <v>653</v>
      </c>
    </row>
    <row r="40" spans="1:2" ht="15.75" thickBot="1">
      <c r="A40" s="697" t="s">
        <v>654</v>
      </c>
      <c r="B40" s="698" t="s">
        <v>655</v>
      </c>
    </row>
    <row r="41" spans="1:2">
      <c r="A41" s="699" t="s">
        <v>738</v>
      </c>
      <c r="B41" s="701" t="s">
        <v>739</v>
      </c>
    </row>
    <row r="42" spans="1:2" ht="28.5">
      <c r="A42" s="699" t="s">
        <v>740</v>
      </c>
      <c r="B42" s="701" t="s">
        <v>741</v>
      </c>
    </row>
    <row r="43" spans="1:2" ht="43.5" thickBot="1">
      <c r="A43" s="699" t="s">
        <v>742</v>
      </c>
      <c r="B43" s="710" t="s">
        <v>743</v>
      </c>
    </row>
    <row r="44" spans="1:2" ht="15.75" thickBot="1">
      <c r="A44" s="697" t="s">
        <v>656</v>
      </c>
      <c r="B44" s="698" t="s">
        <v>657</v>
      </c>
    </row>
    <row r="45" spans="1:2" ht="28.5">
      <c r="A45" s="699" t="s">
        <v>744</v>
      </c>
      <c r="B45" s="703" t="s">
        <v>745</v>
      </c>
    </row>
    <row r="46" spans="1:2" ht="29.25" thickBot="1">
      <c r="A46" s="699" t="s">
        <v>746</v>
      </c>
      <c r="B46" s="703" t="s">
        <v>747</v>
      </c>
    </row>
    <row r="47" spans="1:2" ht="15.75" thickBot="1">
      <c r="A47" s="697" t="s">
        <v>658</v>
      </c>
      <c r="B47" s="698" t="s">
        <v>659</v>
      </c>
    </row>
    <row r="48" spans="1:2" ht="29.25" thickBot="1">
      <c r="A48" s="711" t="s">
        <v>748</v>
      </c>
      <c r="B48" s="712" t="s">
        <v>749</v>
      </c>
    </row>
    <row r="49" spans="1:2" ht="15.75" thickBot="1">
      <c r="A49" s="697" t="s">
        <v>660</v>
      </c>
      <c r="B49" s="698" t="s">
        <v>661</v>
      </c>
    </row>
    <row r="50" spans="1:2" ht="28.5">
      <c r="A50" s="699" t="s">
        <v>750</v>
      </c>
      <c r="B50" s="701" t="s">
        <v>751</v>
      </c>
    </row>
    <row r="51" spans="1:2" ht="29.25" thickBot="1">
      <c r="A51" s="699" t="s">
        <v>752</v>
      </c>
      <c r="B51" s="710" t="s">
        <v>753</v>
      </c>
    </row>
    <row r="52" spans="1:2" s="686" customFormat="1" ht="16.5" thickBot="1">
      <c r="A52" s="708" t="s">
        <v>662</v>
      </c>
    </row>
    <row r="53" spans="1:2" ht="29.25" thickBot="1">
      <c r="A53" s="697" t="s">
        <v>663</v>
      </c>
      <c r="B53" s="698" t="s">
        <v>664</v>
      </c>
    </row>
    <row r="54" spans="1:2" ht="42.75">
      <c r="A54" s="699" t="s">
        <v>754</v>
      </c>
      <c r="B54" s="703" t="s">
        <v>755</v>
      </c>
    </row>
    <row r="55" spans="1:2" ht="28.5">
      <c r="A55" s="699" t="s">
        <v>756</v>
      </c>
      <c r="B55" s="703" t="s">
        <v>757</v>
      </c>
    </row>
    <row r="56" spans="1:2" ht="28.5">
      <c r="A56" s="699" t="s">
        <v>758</v>
      </c>
      <c r="B56" s="703" t="s">
        <v>665</v>
      </c>
    </row>
    <row r="57" spans="1:2" ht="28.5">
      <c r="A57" s="699" t="s">
        <v>759</v>
      </c>
      <c r="B57" s="703" t="s">
        <v>666</v>
      </c>
    </row>
    <row r="58" spans="1:2" ht="15.75" thickBot="1">
      <c r="A58" s="699" t="s">
        <v>760</v>
      </c>
      <c r="B58" s="709"/>
    </row>
    <row r="59" spans="1:2" ht="29.25" thickBot="1">
      <c r="A59" s="697" t="s">
        <v>667</v>
      </c>
      <c r="B59" s="698" t="s">
        <v>668</v>
      </c>
    </row>
    <row r="60" spans="1:2" ht="42.75">
      <c r="A60" s="704" t="s">
        <v>761</v>
      </c>
      <c r="B60" s="705" t="s">
        <v>762</v>
      </c>
    </row>
    <row r="61" spans="1:2" ht="42.75">
      <c r="A61" s="699" t="s">
        <v>763</v>
      </c>
      <c r="B61" s="703" t="s">
        <v>764</v>
      </c>
    </row>
    <row r="62" spans="1:2" ht="29.25" thickBot="1">
      <c r="A62" s="706" t="s">
        <v>765</v>
      </c>
      <c r="B62" s="707" t="s">
        <v>766</v>
      </c>
    </row>
  </sheetData>
  <pageMargins left="0.70866141732283472" right="0.70866141732283472" top="0.74803149606299213" bottom="0.74803149606299213" header="0.31496062992125984" footer="0.31496062992125984"/>
  <pageSetup paperSize="9" scale="75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0"/>
  <dimension ref="B1:R40"/>
  <sheetViews>
    <sheetView zoomScaleNormal="100" workbookViewId="0">
      <selection activeCell="O8" sqref="O8"/>
    </sheetView>
  </sheetViews>
  <sheetFormatPr baseColWidth="10" defaultColWidth="11.42578125" defaultRowHeight="15"/>
  <cols>
    <col min="1" max="1" width="1.7109375" style="448" customWidth="1"/>
    <col min="2" max="2" width="11.42578125" style="448"/>
    <col min="3" max="3" width="6.7109375" style="448" customWidth="1"/>
    <col min="4" max="5" width="11.42578125" style="448"/>
    <col min="6" max="6" width="2.28515625" style="448" customWidth="1"/>
    <col min="7" max="7" width="2.42578125" style="448" customWidth="1"/>
    <col min="8" max="8" width="3.42578125" style="448" customWidth="1"/>
    <col min="9" max="9" width="14.140625" style="448" customWidth="1"/>
    <col min="10" max="10" width="9.5703125" style="448" customWidth="1"/>
    <col min="11" max="11" width="16.42578125" style="448" customWidth="1"/>
    <col min="12" max="12" width="4.28515625" style="448" customWidth="1"/>
    <col min="13" max="16384" width="11.42578125" style="448"/>
  </cols>
  <sheetData>
    <row r="1" spans="2:18" ht="36" customHeight="1">
      <c r="K1" s="714"/>
    </row>
    <row r="2" spans="2:18">
      <c r="B2" s="715"/>
      <c r="C2" s="715"/>
      <c r="D2" s="715"/>
      <c r="E2" s="715"/>
      <c r="F2" s="715"/>
      <c r="G2" s="715"/>
      <c r="H2" s="715"/>
      <c r="I2" s="715"/>
      <c r="J2" s="715"/>
      <c r="K2" s="715"/>
    </row>
    <row r="4" spans="2:18">
      <c r="B4" s="449"/>
      <c r="C4" s="449"/>
    </row>
    <row r="5" spans="2:18" ht="18.75" customHeight="1">
      <c r="B5" s="1410" t="s">
        <v>767</v>
      </c>
      <c r="C5" s="1410"/>
      <c r="D5" s="1410"/>
      <c r="G5" s="716"/>
      <c r="H5" s="1410" t="s">
        <v>772</v>
      </c>
      <c r="I5" s="1410"/>
      <c r="J5" s="1410"/>
      <c r="O5"/>
    </row>
    <row r="6" spans="2:18">
      <c r="G6" s="716"/>
      <c r="N6" s="746"/>
    </row>
    <row r="7" spans="2:18" ht="61.5">
      <c r="B7" s="1412"/>
      <c r="C7" s="1412"/>
      <c r="D7" s="1412"/>
      <c r="E7" s="717"/>
      <c r="G7" s="718"/>
    </row>
    <row r="8" spans="2:18" ht="46.5">
      <c r="B8" s="719"/>
      <c r="C8" s="1413"/>
      <c r="D8" s="1413"/>
      <c r="E8" s="1413"/>
      <c r="F8" s="720"/>
      <c r="G8" s="718"/>
      <c r="R8" s="746"/>
    </row>
    <row r="9" spans="2:18" ht="18.75" customHeight="1">
      <c r="B9" s="1410" t="s">
        <v>768</v>
      </c>
      <c r="C9" s="1410"/>
      <c r="D9" s="1410"/>
      <c r="G9" s="721"/>
    </row>
    <row r="10" spans="2:18">
      <c r="G10" s="722"/>
    </row>
    <row r="11" spans="2:18" ht="46.5">
      <c r="B11" s="723"/>
      <c r="C11" s="723"/>
      <c r="D11" s="723"/>
      <c r="E11" s="724"/>
      <c r="F11" s="725"/>
      <c r="N11" s="746"/>
    </row>
    <row r="12" spans="2:18">
      <c r="B12" s="1402"/>
      <c r="C12" s="1402"/>
      <c r="D12" s="1402"/>
      <c r="E12" s="1411"/>
      <c r="G12" s="716"/>
      <c r="O12" s="746"/>
    </row>
    <row r="13" spans="2:18" ht="18.75" customHeight="1">
      <c r="B13" s="1401"/>
      <c r="C13" s="1401"/>
      <c r="D13" s="1401"/>
      <c r="E13" s="1411"/>
      <c r="G13" s="716"/>
      <c r="H13" s="1410" t="s">
        <v>769</v>
      </c>
      <c r="I13" s="1410"/>
      <c r="J13" s="1410"/>
    </row>
    <row r="14" spans="2:18" ht="24" customHeight="1">
      <c r="B14" s="726"/>
      <c r="C14" s="726"/>
      <c r="D14" s="726"/>
      <c r="E14" s="727"/>
      <c r="G14" s="716"/>
    </row>
    <row r="15" spans="2:18" ht="25.5" customHeight="1">
      <c r="B15" s="1401"/>
      <c r="C15" s="1401"/>
      <c r="D15" s="1401"/>
      <c r="G15" s="716"/>
      <c r="H15" s="728"/>
      <c r="I15" s="729"/>
      <c r="J15" s="730"/>
      <c r="K15" s="731"/>
      <c r="N15" s="746"/>
    </row>
    <row r="16" spans="2:18" ht="13.5" customHeight="1">
      <c r="B16" s="1402"/>
      <c r="C16" s="1402"/>
      <c r="D16" s="1402"/>
      <c r="E16" s="1402"/>
      <c r="G16" s="716"/>
      <c r="I16" s="729"/>
    </row>
    <row r="17" spans="2:15" ht="22.5" customHeight="1">
      <c r="B17" s="1409" t="s">
        <v>770</v>
      </c>
      <c r="C17" s="1409"/>
      <c r="D17" s="1409"/>
      <c r="G17" s="716"/>
      <c r="H17" s="1403"/>
      <c r="I17" s="1403"/>
      <c r="J17" s="1404"/>
      <c r="K17" s="1404"/>
    </row>
    <row r="18" spans="2:15" ht="15.75">
      <c r="G18" s="716"/>
      <c r="H18" s="732"/>
      <c r="I18" s="732"/>
      <c r="J18" s="733"/>
    </row>
    <row r="19" spans="2:15" ht="26.25">
      <c r="B19"/>
      <c r="G19" s="716"/>
      <c r="H19" s="1405"/>
      <c r="I19" s="1406"/>
      <c r="J19" s="734"/>
      <c r="K19" s="735"/>
    </row>
    <row r="20" spans="2:15" ht="15.75">
      <c r="C20" s="736"/>
      <c r="G20" s="716"/>
      <c r="H20" s="1407"/>
      <c r="I20" s="1407"/>
      <c r="J20" s="737"/>
      <c r="K20" s="723"/>
    </row>
    <row r="21" spans="2:15" ht="18.75" customHeight="1">
      <c r="C21" s="736"/>
      <c r="G21" s="716"/>
      <c r="H21" s="1410" t="s">
        <v>771</v>
      </c>
      <c r="I21" s="1410"/>
      <c r="J21" s="1410"/>
      <c r="M21" s="776"/>
      <c r="O21" s="746"/>
    </row>
    <row r="22" spans="2:15">
      <c r="C22" s="738"/>
      <c r="G22" s="716"/>
    </row>
    <row r="23" spans="2:15" ht="18.75">
      <c r="G23" s="716"/>
      <c r="I23"/>
      <c r="J23" s="117"/>
    </row>
    <row r="24" spans="2:15" ht="31.5">
      <c r="G24" s="716"/>
      <c r="H24"/>
      <c r="I24" s="740"/>
      <c r="J24" s="1408"/>
      <c r="K24" s="1408"/>
    </row>
    <row r="25" spans="2:15" ht="21">
      <c r="G25" s="716"/>
      <c r="I25" s="739"/>
      <c r="J25" s="117"/>
      <c r="K25" s="741"/>
    </row>
    <row r="26" spans="2:15" ht="18.75">
      <c r="B26" s="1410" t="s">
        <v>795</v>
      </c>
      <c r="C26" s="1410"/>
      <c r="D26" s="1410"/>
      <c r="G26" s="716"/>
      <c r="I26" s="742"/>
      <c r="K26" s="743"/>
    </row>
    <row r="27" spans="2:15" ht="18.75">
      <c r="F27" s="725"/>
      <c r="G27" s="449"/>
      <c r="I27" s="1399"/>
      <c r="J27" s="744"/>
    </row>
    <row r="28" spans="2:15">
      <c r="F28" s="725"/>
      <c r="G28" s="449"/>
      <c r="I28" s="1399"/>
      <c r="J28" s="1400"/>
      <c r="K28" s="1400"/>
    </row>
    <row r="29" spans="2:15">
      <c r="F29" s="725"/>
      <c r="J29" s="1400"/>
      <c r="K29" s="1400"/>
    </row>
    <row r="30" spans="2:15">
      <c r="F30" s="725"/>
      <c r="I30" s="745"/>
    </row>
    <row r="31" spans="2:15">
      <c r="F31" s="725"/>
    </row>
    <row r="40" spans="10:10">
      <c r="J40" s="746"/>
    </row>
  </sheetData>
  <mergeCells count="20">
    <mergeCell ref="H13:J13"/>
    <mergeCell ref="B9:D9"/>
    <mergeCell ref="H5:J5"/>
    <mergeCell ref="B5:D5"/>
    <mergeCell ref="B12:D12"/>
    <mergeCell ref="E12:E13"/>
    <mergeCell ref="B13:D13"/>
    <mergeCell ref="B7:D7"/>
    <mergeCell ref="C8:E8"/>
    <mergeCell ref="I27:I28"/>
    <mergeCell ref="J28:K29"/>
    <mergeCell ref="B15:D15"/>
    <mergeCell ref="B16:E16"/>
    <mergeCell ref="H17:I17"/>
    <mergeCell ref="J17:K17"/>
    <mergeCell ref="H19:I20"/>
    <mergeCell ref="J24:K24"/>
    <mergeCell ref="B17:D17"/>
    <mergeCell ref="H21:J21"/>
    <mergeCell ref="B26:D26"/>
  </mergeCells>
  <pageMargins left="0.7" right="0.7" top="0.75" bottom="0.75" header="0.3" footer="0.3"/>
  <pageSetup paperSize="9" scale="97" orientation="portrait" horizontalDpi="1200" verticalDpi="1200" r:id="rId1"/>
  <colBreaks count="1" manualBreakCount="1">
    <brk id="11" max="1048575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1"/>
  <dimension ref="A1:N19"/>
  <sheetViews>
    <sheetView workbookViewId="0">
      <selection activeCell="B24" sqref="B24"/>
    </sheetView>
  </sheetViews>
  <sheetFormatPr baseColWidth="10" defaultColWidth="11.42578125" defaultRowHeight="15"/>
  <cols>
    <col min="1" max="1" width="35.7109375" style="448" bestFit="1" customWidth="1"/>
    <col min="2" max="2" width="38.85546875" style="448" bestFit="1" customWidth="1"/>
    <col min="3" max="3" width="15.85546875" style="448" customWidth="1"/>
    <col min="4" max="4" width="16.7109375" style="448" bestFit="1" customWidth="1"/>
    <col min="5" max="5" width="17.5703125" style="448" customWidth="1"/>
    <col min="6" max="6" width="12.5703125" style="448" customWidth="1"/>
    <col min="7" max="7" width="9.28515625" style="448" customWidth="1"/>
    <col min="8" max="8" width="18.140625" style="448" customWidth="1"/>
    <col min="9" max="9" width="21.28515625" style="448" customWidth="1"/>
    <col min="10" max="10" width="20.42578125" style="448" customWidth="1"/>
    <col min="11" max="11" width="11.42578125" style="448"/>
    <col min="12" max="12" width="16" style="448" customWidth="1"/>
    <col min="13" max="16384" width="11.42578125" style="448"/>
  </cols>
  <sheetData>
    <row r="1" spans="1:14" ht="18.75">
      <c r="A1" s="750" t="s">
        <v>781</v>
      </c>
      <c r="B1" s="751">
        <f>+C18</f>
        <v>0</v>
      </c>
      <c r="D1" s="750" t="s">
        <v>682</v>
      </c>
      <c r="E1" s="752" t="e">
        <f>+M18</f>
        <v>#DIV/0!</v>
      </c>
    </row>
    <row r="2" spans="1:14" ht="18.75">
      <c r="A2" s="750" t="s">
        <v>791</v>
      </c>
      <c r="B2" s="753"/>
      <c r="D2" s="750" t="s">
        <v>463</v>
      </c>
      <c r="E2" s="754"/>
    </row>
    <row r="3" spans="1:14" ht="18.75" customHeight="1">
      <c r="A3" s="750" t="s">
        <v>782</v>
      </c>
      <c r="B3" s="755" t="s">
        <v>785</v>
      </c>
      <c r="C3" s="448">
        <f>VLOOKUP(B3,DATOS!$R$2:$S$5,2,0)</f>
        <v>2</v>
      </c>
    </row>
    <row r="4" spans="1:14" ht="18.75">
      <c r="A4" s="750" t="s">
        <v>788</v>
      </c>
      <c r="B4" s="749">
        <v>12</v>
      </c>
    </row>
    <row r="6" spans="1:14" s="774" customFormat="1" ht="27" customHeight="1">
      <c r="A6" s="775" t="s">
        <v>792</v>
      </c>
      <c r="B6" s="775" t="s">
        <v>773</v>
      </c>
      <c r="C6" s="775" t="s">
        <v>774</v>
      </c>
      <c r="D6" s="775" t="s">
        <v>775</v>
      </c>
      <c r="E6" s="775" t="s">
        <v>790</v>
      </c>
      <c r="F6" s="775" t="s">
        <v>776</v>
      </c>
      <c r="G6" s="775" t="s">
        <v>777</v>
      </c>
      <c r="H6" s="775" t="s">
        <v>778</v>
      </c>
      <c r="I6" s="775" t="s">
        <v>793</v>
      </c>
      <c r="J6" s="775" t="s">
        <v>779</v>
      </c>
      <c r="K6" s="775" t="s">
        <v>109</v>
      </c>
      <c r="L6" s="775" t="s">
        <v>780</v>
      </c>
      <c r="M6" s="775" t="s">
        <v>682</v>
      </c>
      <c r="N6" s="775" t="s">
        <v>463</v>
      </c>
    </row>
    <row r="7" spans="1:14">
      <c r="A7" s="756"/>
      <c r="B7" s="756"/>
      <c r="C7" s="757"/>
      <c r="D7" s="757"/>
      <c r="E7" s="757"/>
      <c r="F7" s="758">
        <f>+E7+C7</f>
        <v>0</v>
      </c>
      <c r="G7" s="759"/>
      <c r="H7" s="758" t="e">
        <f>Tabla1[#Headers]=+C7/G7</f>
        <v>#DIV/0!</v>
      </c>
      <c r="I7" s="760"/>
      <c r="J7" s="760"/>
      <c r="K7" s="761" t="e">
        <f>+H7*I7*J7</f>
        <v>#DIV/0!</v>
      </c>
      <c r="L7" s="758" t="e">
        <f t="shared" ref="L7:L16" si="0">+B$2*K7*12</f>
        <v>#DIV/0!</v>
      </c>
      <c r="M7" s="758">
        <f t="shared" ref="M7:M9" si="1">IF(ISERROR(+F7/K7),0,(+F7/K7))</f>
        <v>0</v>
      </c>
      <c r="N7" s="758">
        <f t="shared" ref="N7:N18" si="2">+$E$2</f>
        <v>0</v>
      </c>
    </row>
    <row r="8" spans="1:14">
      <c r="A8" s="756"/>
      <c r="B8" s="756"/>
      <c r="C8" s="757"/>
      <c r="D8" s="757"/>
      <c r="E8" s="757"/>
      <c r="F8" s="758">
        <f t="shared" ref="F8:F16" si="3">+E8+C8</f>
        <v>0</v>
      </c>
      <c r="G8" s="759"/>
      <c r="H8" s="758" t="e">
        <f>Tabla1[#Headers]=+C8/G8</f>
        <v>#DIV/0!</v>
      </c>
      <c r="I8" s="760"/>
      <c r="J8" s="760"/>
      <c r="K8" s="761" t="e">
        <f t="shared" ref="K8:K16" si="4">+H8*I8*J8</f>
        <v>#DIV/0!</v>
      </c>
      <c r="L8" s="758" t="e">
        <f t="shared" si="0"/>
        <v>#DIV/0!</v>
      </c>
      <c r="M8" s="758">
        <f t="shared" si="1"/>
        <v>0</v>
      </c>
      <c r="N8" s="758">
        <f t="shared" si="2"/>
        <v>0</v>
      </c>
    </row>
    <row r="9" spans="1:14">
      <c r="A9" s="756"/>
      <c r="B9" s="756"/>
      <c r="C9" s="757"/>
      <c r="D9" s="759"/>
      <c r="E9" s="759"/>
      <c r="F9" s="758">
        <f t="shared" si="3"/>
        <v>0</v>
      </c>
      <c r="G9" s="759"/>
      <c r="H9" s="758" t="e">
        <f>Tabla1[#Headers]=+C9/G9</f>
        <v>#DIV/0!</v>
      </c>
      <c r="I9" s="760"/>
      <c r="J9" s="760"/>
      <c r="K9" s="761" t="e">
        <f>+H9*I9*J9</f>
        <v>#DIV/0!</v>
      </c>
      <c r="L9" s="758" t="e">
        <f t="shared" si="0"/>
        <v>#DIV/0!</v>
      </c>
      <c r="M9" s="758">
        <f t="shared" si="1"/>
        <v>0</v>
      </c>
      <c r="N9" s="758">
        <f t="shared" si="2"/>
        <v>0</v>
      </c>
    </row>
    <row r="10" spans="1:14">
      <c r="A10" s="756"/>
      <c r="B10" s="756"/>
      <c r="C10" s="757"/>
      <c r="D10" s="759"/>
      <c r="E10" s="759"/>
      <c r="F10" s="758">
        <f t="shared" si="3"/>
        <v>0</v>
      </c>
      <c r="G10" s="759"/>
      <c r="H10" s="758" t="e">
        <f>Tabla1[#Headers]=+C10/G10</f>
        <v>#DIV/0!</v>
      </c>
      <c r="I10" s="760"/>
      <c r="J10" s="760"/>
      <c r="K10" s="761" t="e">
        <f t="shared" si="4"/>
        <v>#DIV/0!</v>
      </c>
      <c r="L10" s="758" t="e">
        <f t="shared" si="0"/>
        <v>#DIV/0!</v>
      </c>
      <c r="M10" s="758">
        <f>IF(ISERROR(+F10/K10),0,(+F10/K10))</f>
        <v>0</v>
      </c>
      <c r="N10" s="758">
        <f t="shared" si="2"/>
        <v>0</v>
      </c>
    </row>
    <row r="11" spans="1:14">
      <c r="A11" s="756"/>
      <c r="B11" s="756"/>
      <c r="C11" s="757"/>
      <c r="D11" s="757"/>
      <c r="E11" s="757"/>
      <c r="F11" s="758">
        <f t="shared" si="3"/>
        <v>0</v>
      </c>
      <c r="G11" s="759"/>
      <c r="H11" s="758" t="e">
        <f>Tabla1[#Headers]=+C11/G11</f>
        <v>#DIV/0!</v>
      </c>
      <c r="I11" s="762"/>
      <c r="J11" s="762"/>
      <c r="K11" s="761" t="e">
        <f t="shared" si="4"/>
        <v>#DIV/0!</v>
      </c>
      <c r="L11" s="758" t="e">
        <f t="shared" si="0"/>
        <v>#DIV/0!</v>
      </c>
      <c r="M11" s="758">
        <f t="shared" ref="M11:M16" si="5">IF(ISERROR(+F11/K11),0,(+F11/K11))</f>
        <v>0</v>
      </c>
      <c r="N11" s="758">
        <f t="shared" si="2"/>
        <v>0</v>
      </c>
    </row>
    <row r="12" spans="1:14">
      <c r="A12" s="756"/>
      <c r="B12" s="756"/>
      <c r="C12" s="757"/>
      <c r="D12" s="757"/>
      <c r="E12" s="757"/>
      <c r="F12" s="758">
        <f t="shared" si="3"/>
        <v>0</v>
      </c>
      <c r="G12" s="759"/>
      <c r="H12" s="758" t="e">
        <f>Tabla1[#Headers]=+C12/G12</f>
        <v>#DIV/0!</v>
      </c>
      <c r="I12" s="762"/>
      <c r="J12" s="762"/>
      <c r="K12" s="761" t="e">
        <f>+H12*I12*J12</f>
        <v>#DIV/0!</v>
      </c>
      <c r="L12" s="758" t="e">
        <f t="shared" si="0"/>
        <v>#DIV/0!</v>
      </c>
      <c r="M12" s="758">
        <f t="shared" si="5"/>
        <v>0</v>
      </c>
      <c r="N12" s="758">
        <f t="shared" si="2"/>
        <v>0</v>
      </c>
    </row>
    <row r="13" spans="1:14">
      <c r="A13" s="756"/>
      <c r="B13" s="756"/>
      <c r="C13" s="757"/>
      <c r="D13" s="757"/>
      <c r="E13" s="757"/>
      <c r="F13" s="758">
        <f t="shared" si="3"/>
        <v>0</v>
      </c>
      <c r="G13" s="759"/>
      <c r="H13" s="758" t="e">
        <f>Tabla1[#Headers]=+C13/G13</f>
        <v>#DIV/0!</v>
      </c>
      <c r="I13" s="760"/>
      <c r="J13" s="762"/>
      <c r="K13" s="761" t="e">
        <f t="shared" si="4"/>
        <v>#DIV/0!</v>
      </c>
      <c r="L13" s="758" t="e">
        <f t="shared" si="0"/>
        <v>#DIV/0!</v>
      </c>
      <c r="M13" s="758">
        <f t="shared" si="5"/>
        <v>0</v>
      </c>
      <c r="N13" s="758">
        <f t="shared" si="2"/>
        <v>0</v>
      </c>
    </row>
    <row r="14" spans="1:14">
      <c r="A14" s="756"/>
      <c r="B14" s="756"/>
      <c r="C14" s="757"/>
      <c r="D14" s="757"/>
      <c r="E14" s="757"/>
      <c r="F14" s="758">
        <f t="shared" si="3"/>
        <v>0</v>
      </c>
      <c r="G14" s="759"/>
      <c r="H14" s="758" t="e">
        <f>Tabla1[#Headers]=+C14/G14</f>
        <v>#DIV/0!</v>
      </c>
      <c r="I14" s="762"/>
      <c r="J14" s="762"/>
      <c r="K14" s="761" t="e">
        <f t="shared" si="4"/>
        <v>#DIV/0!</v>
      </c>
      <c r="L14" s="758" t="e">
        <f t="shared" si="0"/>
        <v>#DIV/0!</v>
      </c>
      <c r="M14" s="758">
        <f t="shared" si="5"/>
        <v>0</v>
      </c>
      <c r="N14" s="758">
        <f t="shared" si="2"/>
        <v>0</v>
      </c>
    </row>
    <row r="15" spans="1:14">
      <c r="A15" s="756"/>
      <c r="B15" s="756"/>
      <c r="C15" s="757"/>
      <c r="D15" s="759"/>
      <c r="E15" s="759"/>
      <c r="F15" s="758">
        <f t="shared" si="3"/>
        <v>0</v>
      </c>
      <c r="G15" s="759"/>
      <c r="H15" s="758" t="e">
        <f>Tabla1[#Headers]=+C15/G15</f>
        <v>#DIV/0!</v>
      </c>
      <c r="I15" s="760"/>
      <c r="J15" s="760"/>
      <c r="K15" s="761" t="e">
        <f t="shared" si="4"/>
        <v>#DIV/0!</v>
      </c>
      <c r="L15" s="758" t="e">
        <f t="shared" si="0"/>
        <v>#DIV/0!</v>
      </c>
      <c r="M15" s="758">
        <f t="shared" si="5"/>
        <v>0</v>
      </c>
      <c r="N15" s="758">
        <f t="shared" si="2"/>
        <v>0</v>
      </c>
    </row>
    <row r="16" spans="1:14">
      <c r="A16" s="756"/>
      <c r="B16" s="763"/>
      <c r="C16" s="764"/>
      <c r="D16" s="765"/>
      <c r="E16" s="764"/>
      <c r="F16" s="766">
        <f t="shared" si="3"/>
        <v>0</v>
      </c>
      <c r="G16" s="765"/>
      <c r="H16" s="758" t="e">
        <f>Tabla1[#Headers]=+C16/G16</f>
        <v>#DIV/0!</v>
      </c>
      <c r="I16" s="765"/>
      <c r="J16" s="767"/>
      <c r="K16" s="768" t="e">
        <f t="shared" si="4"/>
        <v>#DIV/0!</v>
      </c>
      <c r="L16" s="758" t="e">
        <f t="shared" si="0"/>
        <v>#DIV/0!</v>
      </c>
      <c r="M16" s="758">
        <f t="shared" si="5"/>
        <v>0</v>
      </c>
      <c r="N16" s="758">
        <f t="shared" si="2"/>
        <v>0</v>
      </c>
    </row>
    <row r="17" spans="1:14">
      <c r="A17" s="756"/>
      <c r="B17" s="763"/>
      <c r="C17" s="764"/>
      <c r="D17" s="765"/>
      <c r="E17" s="764"/>
      <c r="F17" s="766"/>
      <c r="G17" s="765"/>
      <c r="H17" s="758" t="e">
        <f>Tabla1[#Headers]=+C17/G17</f>
        <v>#DIV/0!</v>
      </c>
      <c r="I17" s="765"/>
      <c r="J17" s="767"/>
      <c r="K17" s="768"/>
      <c r="L17" s="758"/>
      <c r="M17" s="758"/>
      <c r="N17" s="758">
        <f t="shared" si="2"/>
        <v>0</v>
      </c>
    </row>
    <row r="18" spans="1:14" ht="23.25">
      <c r="B18" s="769" t="s">
        <v>789</v>
      </c>
      <c r="C18" s="751">
        <f>+SUM(C7:C17)</f>
        <v>0</v>
      </c>
      <c r="D18" s="770"/>
      <c r="E18" s="751">
        <f>+SUM(E7:E17)</f>
        <v>0</v>
      </c>
      <c r="F18" s="751">
        <f>+SUM(F7:F17)</f>
        <v>0</v>
      </c>
      <c r="G18" s="771"/>
      <c r="H18" s="751" t="e">
        <f>+SUM(H7:H17)</f>
        <v>#DIV/0!</v>
      </c>
      <c r="I18" s="772"/>
      <c r="J18" s="772"/>
      <c r="K18" s="755" t="e">
        <f>+SUM(K7:K17)</f>
        <v>#DIV/0!</v>
      </c>
      <c r="L18" s="751" t="e">
        <f>+SUM(L7:L17)</f>
        <v>#DIV/0!</v>
      </c>
      <c r="M18" s="751" t="e">
        <f>+(C18+100)/K18</f>
        <v>#DIV/0!</v>
      </c>
      <c r="N18" s="751">
        <f t="shared" si="2"/>
        <v>0</v>
      </c>
    </row>
    <row r="19" spans="1:14">
      <c r="L19" s="773">
        <f>+Resultados!C4</f>
        <v>0</v>
      </c>
    </row>
  </sheetData>
  <dataValidations count="1">
    <dataValidation type="whole" allowBlank="1" showInputMessage="1" showErrorMessage="1" errorTitle="Meses" error="Poner únicamente un número" promptTitle="Meses" prompt="Indicar número de meses que repetirá la compra. En caso de una única compra sin repetición poner 1." sqref="B4" xr:uid="{00000000-0002-0000-1D00-000000000000}">
      <formula1>0</formula1>
      <formula2>1000</formula2>
    </dataValidation>
  </dataValidations>
  <pageMargins left="0.7" right="0.7" top="0.75" bottom="0.75" header="0.3" footer="0.3"/>
  <pageSetup paperSize="9" orientation="portrait" horizontalDpi="1200" verticalDpi="120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D00-000001000000}">
          <x14:formula1>
            <xm:f>DATOS!$R$2:$R$5</xm:f>
          </x14:formula1>
          <xm:sqref>B3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22"/>
  <dimension ref="A1:J55"/>
  <sheetViews>
    <sheetView workbookViewId="0">
      <selection activeCell="I22" sqref="I22"/>
    </sheetView>
  </sheetViews>
  <sheetFormatPr baseColWidth="10" defaultColWidth="11.42578125" defaultRowHeight="15"/>
  <cols>
    <col min="1" max="1" width="2.5703125" style="781" customWidth="1"/>
    <col min="2" max="2" width="25.42578125" style="778" bestFit="1" customWidth="1"/>
    <col min="3" max="3" width="15.7109375" style="778" customWidth="1"/>
    <col min="4" max="5" width="11.5703125" style="778" customWidth="1"/>
    <col min="6" max="6" width="13.7109375" style="778" customWidth="1"/>
    <col min="7" max="16384" width="11.42578125" style="778"/>
  </cols>
  <sheetData>
    <row r="1" spans="2:10" s="778" customFormat="1" ht="7.5" customHeight="1"/>
    <row r="2" spans="2:10" s="778" customFormat="1" ht="15.75" customHeight="1">
      <c r="C2" s="1416">
        <f>+[2]Cuestionario!C4</f>
        <v>0</v>
      </c>
      <c r="D2" s="1417"/>
      <c r="E2" s="1417"/>
    </row>
    <row r="3" spans="2:10" s="778" customFormat="1" ht="20.25" customHeight="1">
      <c r="C3" s="779"/>
      <c r="D3" s="1418" t="s">
        <v>386</v>
      </c>
      <c r="E3" s="1418"/>
    </row>
    <row r="4" spans="2:10" s="778" customFormat="1" ht="20.25" customHeight="1">
      <c r="C4" s="779"/>
      <c r="D4" s="1418" t="s">
        <v>797</v>
      </c>
      <c r="E4" s="1418"/>
    </row>
    <row r="5" spans="2:10" s="778" customFormat="1" ht="20.25" customHeight="1">
      <c r="C5" s="779"/>
      <c r="D5" s="1418" t="s">
        <v>798</v>
      </c>
      <c r="E5" s="1418"/>
    </row>
    <row r="8" spans="2:10" s="778" customFormat="1">
      <c r="E8" s="780"/>
    </row>
    <row r="10" spans="2:10" s="778" customFormat="1">
      <c r="B10" s="781"/>
      <c r="C10" s="781"/>
      <c r="D10" s="781"/>
      <c r="E10" s="781"/>
    </row>
    <row r="11" spans="2:10" s="778" customFormat="1">
      <c r="B11" s="782"/>
      <c r="C11" s="781"/>
      <c r="D11" s="781"/>
      <c r="E11" s="781"/>
      <c r="J11" s="778" t="s">
        <v>46</v>
      </c>
    </row>
    <row r="12" spans="2:10" s="778" customFormat="1">
      <c r="B12" s="781"/>
      <c r="C12" s="781"/>
      <c r="D12" s="781"/>
      <c r="E12" s="781"/>
    </row>
    <row r="13" spans="2:10" s="778" customFormat="1">
      <c r="B13" s="781"/>
      <c r="C13" s="781"/>
      <c r="D13" s="781"/>
      <c r="E13" s="781"/>
    </row>
    <row r="14" spans="2:10" s="778" customFormat="1">
      <c r="B14" s="782"/>
      <c r="C14" s="781"/>
      <c r="D14" s="781"/>
      <c r="E14" s="781"/>
    </row>
    <row r="15" spans="2:10" s="778" customFormat="1">
      <c r="B15" s="783"/>
      <c r="C15" s="781"/>
      <c r="D15" s="781"/>
      <c r="E15" s="781"/>
    </row>
    <row r="16" spans="2:10" s="778" customFormat="1">
      <c r="B16" s="781"/>
      <c r="C16" s="781"/>
      <c r="D16" s="781"/>
      <c r="E16" s="781"/>
    </row>
    <row r="17" spans="2:5" s="778" customFormat="1">
      <c r="B17" s="781"/>
      <c r="C17" s="781"/>
      <c r="D17" s="781"/>
      <c r="E17" s="781"/>
    </row>
    <row r="18" spans="2:5" s="778" customFormat="1">
      <c r="B18" s="781"/>
      <c r="C18" s="781"/>
      <c r="D18" s="781"/>
      <c r="E18" s="781"/>
    </row>
    <row r="21" spans="2:5" s="778" customFormat="1" ht="9" customHeight="1"/>
    <row r="24" spans="2:5" s="778" customFormat="1" ht="12" customHeight="1"/>
    <row r="35" spans="2:9" s="778" customFormat="1">
      <c r="I35" s="784"/>
    </row>
    <row r="38" spans="2:9" s="778" customFormat="1" ht="4.5" customHeight="1" thickBot="1"/>
    <row r="39" spans="2:9" s="778" customFormat="1" ht="15.75" thickBot="1">
      <c r="D39" s="785">
        <v>2021</v>
      </c>
      <c r="E39" s="786">
        <v>2022</v>
      </c>
      <c r="F39" s="786">
        <v>2022</v>
      </c>
    </row>
    <row r="40" spans="2:9" s="778" customFormat="1" ht="15.75" thickBot="1">
      <c r="B40" s="1414" t="s">
        <v>6</v>
      </c>
      <c r="C40" s="1415"/>
      <c r="D40" s="787"/>
      <c r="E40" s="788"/>
      <c r="F40" s="788"/>
    </row>
    <row r="41" spans="2:9" s="778" customFormat="1" ht="15.75" thickBot="1">
      <c r="B41" s="1414" t="s">
        <v>799</v>
      </c>
      <c r="C41" s="1415"/>
      <c r="D41" s="787"/>
      <c r="E41" s="788"/>
      <c r="F41" s="788"/>
    </row>
    <row r="42" spans="2:9" s="778" customFormat="1" ht="4.5" customHeight="1"/>
    <row r="43" spans="2:9" s="778" customFormat="1" ht="24.75" customHeight="1" thickBot="1">
      <c r="B43" s="789" t="s">
        <v>800</v>
      </c>
    </row>
    <row r="44" spans="2:9" s="778" customFormat="1" ht="15" customHeight="1" thickBot="1">
      <c r="B44" s="1414" t="s">
        <v>801</v>
      </c>
      <c r="C44" s="1419"/>
      <c r="D44" s="790"/>
      <c r="E44" s="791"/>
      <c r="F44" s="791"/>
    </row>
    <row r="45" spans="2:9" s="778" customFormat="1" ht="15.75" thickBot="1">
      <c r="B45" s="1414" t="s">
        <v>388</v>
      </c>
      <c r="C45" s="1415"/>
      <c r="D45" s="790"/>
      <c r="E45" s="788"/>
      <c r="F45" s="788"/>
    </row>
    <row r="46" spans="2:9" s="778" customFormat="1" ht="15.75" thickBot="1">
      <c r="B46" s="1414" t="s">
        <v>802</v>
      </c>
      <c r="C46" s="1415"/>
      <c r="D46" s="787"/>
      <c r="E46" s="788"/>
      <c r="F46" s="788"/>
    </row>
    <row r="47" spans="2:9" s="778" customFormat="1" ht="15.75" thickBot="1">
      <c r="B47" s="1414" t="s">
        <v>803</v>
      </c>
      <c r="C47" s="1415"/>
      <c r="D47" s="787"/>
      <c r="E47" s="788"/>
      <c r="F47" s="788"/>
    </row>
    <row r="48" spans="2:9" s="778" customFormat="1" ht="15.75" thickBot="1">
      <c r="B48" s="1414" t="s">
        <v>804</v>
      </c>
      <c r="C48" s="1419"/>
      <c r="D48" s="788"/>
      <c r="E48" s="788"/>
      <c r="F48" s="788"/>
    </row>
    <row r="49" spans="2:8" s="778" customFormat="1" ht="15.75" thickBot="1"/>
    <row r="50" spans="2:8" s="778" customFormat="1" ht="15.75" thickBot="1">
      <c r="B50" s="792" t="s">
        <v>387</v>
      </c>
      <c r="C50" s="793"/>
      <c r="D50" s="792" t="s">
        <v>805</v>
      </c>
      <c r="F50" s="793"/>
      <c r="G50" s="781"/>
    </row>
    <row r="51" spans="2:8" s="778" customFormat="1" ht="15.75" thickBot="1">
      <c r="B51" s="792" t="s">
        <v>807</v>
      </c>
      <c r="C51" s="794"/>
      <c r="D51" s="792" t="s">
        <v>806</v>
      </c>
      <c r="F51" s="794"/>
      <c r="G51" s="781"/>
    </row>
    <row r="52" spans="2:8" s="778" customFormat="1">
      <c r="B52" s="781"/>
      <c r="C52" s="781"/>
      <c r="D52" s="781"/>
      <c r="E52" s="781"/>
      <c r="F52" s="781"/>
      <c r="G52" s="781"/>
    </row>
    <row r="55" spans="2:8" s="778" customFormat="1">
      <c r="H55" s="778" t="s">
        <v>46</v>
      </c>
    </row>
  </sheetData>
  <mergeCells count="11">
    <mergeCell ref="B44:C44"/>
    <mergeCell ref="B45:C45"/>
    <mergeCell ref="B46:C46"/>
    <mergeCell ref="B47:C47"/>
    <mergeCell ref="B48:C48"/>
    <mergeCell ref="B41:C41"/>
    <mergeCell ref="C2:E2"/>
    <mergeCell ref="D3:E3"/>
    <mergeCell ref="D4:E4"/>
    <mergeCell ref="D5:E5"/>
    <mergeCell ref="B40:C40"/>
  </mergeCells>
  <conditionalFormatting sqref="E6:F8 B1:F2 B10:F38 D9:F9 B42:F43 B44 B39:C39 B47:B48 D47:F48 D44:F44 B49:F49 B4:C5 B3:D3 F3:F5 B52:F1048576 B50:D51 F50:F51">
    <cfRule type="cellIs" dxfId="21" priority="7" operator="equal">
      <formula>0</formula>
    </cfRule>
  </conditionalFormatting>
  <conditionalFormatting sqref="D39:F39">
    <cfRule type="cellIs" dxfId="20" priority="6" operator="equal">
      <formula>0</formula>
    </cfRule>
  </conditionalFormatting>
  <conditionalFormatting sqref="B45:B46 D46:F46">
    <cfRule type="cellIs" dxfId="19" priority="5" operator="equal">
      <formula>0</formula>
    </cfRule>
  </conditionalFormatting>
  <conditionalFormatting sqref="D45:F45">
    <cfRule type="cellIs" dxfId="18" priority="4" operator="equal">
      <formula>0</formula>
    </cfRule>
  </conditionalFormatting>
  <conditionalFormatting sqref="B40:B41 D41:F41">
    <cfRule type="cellIs" dxfId="17" priority="3" operator="equal">
      <formula>0</formula>
    </cfRule>
  </conditionalFormatting>
  <conditionalFormatting sqref="D40:F40">
    <cfRule type="cellIs" dxfId="16" priority="2" operator="equal">
      <formula>0</formula>
    </cfRule>
  </conditionalFormatting>
  <conditionalFormatting sqref="D4:D5">
    <cfRule type="cellIs" dxfId="15" priority="1" operator="equal">
      <formula>0</formula>
    </cfRule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27"/>
  <dimension ref="A1:I16"/>
  <sheetViews>
    <sheetView topLeftCell="A22" zoomScaleNormal="100" workbookViewId="0">
      <selection activeCell="E49" sqref="E49"/>
    </sheetView>
  </sheetViews>
  <sheetFormatPr baseColWidth="10" defaultColWidth="11.42578125" defaultRowHeight="15"/>
  <cols>
    <col min="1" max="1" width="30.7109375" style="448" customWidth="1"/>
    <col min="2" max="2" width="11.42578125" style="448"/>
    <col min="3" max="3" width="13.140625" style="448" customWidth="1"/>
    <col min="4" max="4" width="11" style="448" customWidth="1"/>
    <col min="5" max="5" width="20" style="448" customWidth="1"/>
    <col min="6" max="6" width="12.85546875" style="448" customWidth="1"/>
    <col min="7" max="7" width="10.7109375" style="448" customWidth="1"/>
    <col min="8" max="16384" width="11.42578125" style="448"/>
  </cols>
  <sheetData>
    <row r="1" spans="1:9" ht="18.75">
      <c r="A1" s="843">
        <f>+Catálogo!B6</f>
        <v>0</v>
      </c>
      <c r="C1" s="795" t="s">
        <v>688</v>
      </c>
      <c r="D1" s="796"/>
      <c r="E1" s="795" t="s">
        <v>689</v>
      </c>
    </row>
    <row r="2" spans="1:9">
      <c r="A2" s="797" t="s">
        <v>1017</v>
      </c>
      <c r="B2" s="798" t="s">
        <v>685</v>
      </c>
      <c r="C2" s="798" t="s">
        <v>78</v>
      </c>
      <c r="D2" s="692"/>
      <c r="F2" s="777"/>
    </row>
    <row r="3" spans="1:9" ht="15.75">
      <c r="A3" s="1079" t="s">
        <v>691</v>
      </c>
      <c r="B3" s="799"/>
      <c r="C3" s="799"/>
      <c r="D3" s="747">
        <f t="shared" ref="D3:D11" si="0">+C3</f>
        <v>0</v>
      </c>
      <c r="E3" s="693" t="s">
        <v>794</v>
      </c>
      <c r="F3" s="799">
        <f>Catálogo!C6</f>
        <v>0</v>
      </c>
    </row>
    <row r="4" spans="1:9" ht="15.75">
      <c r="A4" s="1079" t="s">
        <v>686</v>
      </c>
      <c r="B4" s="799"/>
      <c r="C4" s="799"/>
      <c r="D4" s="747">
        <f t="shared" si="0"/>
        <v>0</v>
      </c>
      <c r="E4" s="694" t="s">
        <v>681</v>
      </c>
      <c r="F4" s="800" t="str">
        <f>+Catálogo!U6</f>
        <v/>
      </c>
    </row>
    <row r="5" spans="1:9" ht="15.75">
      <c r="A5" s="1079" t="s">
        <v>687</v>
      </c>
      <c r="B5" s="799"/>
      <c r="C5" s="799"/>
      <c r="D5" s="747">
        <f t="shared" si="0"/>
        <v>0</v>
      </c>
      <c r="E5" s="694" t="s">
        <v>690</v>
      </c>
      <c r="F5" s="799" t="e">
        <f>+F3*F4</f>
        <v>#VALUE!</v>
      </c>
      <c r="H5" s="448" t="s">
        <v>46</v>
      </c>
    </row>
    <row r="6" spans="1:9" ht="18.75">
      <c r="A6" s="1079" t="s">
        <v>808</v>
      </c>
      <c r="B6" s="799"/>
      <c r="C6" s="799"/>
      <c r="D6" s="747">
        <f t="shared" si="0"/>
        <v>0</v>
      </c>
      <c r="E6" s="694" t="s">
        <v>809</v>
      </c>
      <c r="F6" s="801"/>
    </row>
    <row r="7" spans="1:9" ht="15.75">
      <c r="A7" s="448" t="s">
        <v>810</v>
      </c>
      <c r="B7" s="799"/>
      <c r="C7" s="799"/>
      <c r="D7" s="747">
        <f t="shared" si="0"/>
        <v>0</v>
      </c>
      <c r="E7" s="694" t="s">
        <v>811</v>
      </c>
    </row>
    <row r="8" spans="1:9" ht="15.75">
      <c r="A8" s="448" t="s">
        <v>812</v>
      </c>
      <c r="B8" s="799"/>
      <c r="C8" s="799"/>
      <c r="D8" s="747">
        <f t="shared" si="0"/>
        <v>0</v>
      </c>
      <c r="E8" s="694"/>
    </row>
    <row r="9" spans="1:9" ht="15.75">
      <c r="A9" s="448" t="s">
        <v>1016</v>
      </c>
      <c r="B9" s="799"/>
      <c r="C9" s="799"/>
      <c r="D9" s="747">
        <f t="shared" si="0"/>
        <v>0</v>
      </c>
      <c r="E9" s="694"/>
      <c r="I9" s="448" t="s">
        <v>46</v>
      </c>
    </row>
    <row r="10" spans="1:9" ht="15.75">
      <c r="B10" s="799"/>
      <c r="C10" s="799"/>
      <c r="D10" s="747">
        <f t="shared" si="0"/>
        <v>0</v>
      </c>
    </row>
    <row r="11" spans="1:9" ht="15.75">
      <c r="B11" s="799"/>
      <c r="C11" s="799"/>
      <c r="D11" s="747">
        <f t="shared" si="0"/>
        <v>0</v>
      </c>
    </row>
    <row r="12" spans="1:9">
      <c r="A12" s="448" t="s">
        <v>813</v>
      </c>
      <c r="B12" s="798"/>
      <c r="C12" s="802">
        <f>SUM(C3:C11)</f>
        <v>0</v>
      </c>
      <c r="E12" s="802" t="s">
        <v>814</v>
      </c>
      <c r="F12" s="802" t="e">
        <f>+F5*F6</f>
        <v>#VALUE!</v>
      </c>
    </row>
    <row r="13" spans="1:9" ht="21" customHeight="1">
      <c r="A13" s="448" t="s">
        <v>815</v>
      </c>
      <c r="B13" s="803">
        <v>5</v>
      </c>
      <c r="C13" s="448" t="s">
        <v>602</v>
      </c>
    </row>
    <row r="15" spans="1:9">
      <c r="A15" s="448" t="s">
        <v>816</v>
      </c>
      <c r="B15" s="802" t="s">
        <v>688</v>
      </c>
      <c r="C15" s="802">
        <f>+C12/B13</f>
        <v>0</v>
      </c>
      <c r="E15" s="448" t="s">
        <v>817</v>
      </c>
    </row>
    <row r="16" spans="1:9" ht="18.75">
      <c r="A16" s="448" t="s">
        <v>814</v>
      </c>
      <c r="B16" s="802" t="s">
        <v>689</v>
      </c>
      <c r="C16" s="802" t="e">
        <f>+F12</f>
        <v>#VALUE!</v>
      </c>
      <c r="E16" s="804" t="e">
        <f>+C16-C15</f>
        <v>#VALUE!</v>
      </c>
    </row>
  </sheetData>
  <conditionalFormatting sqref="B3:B11">
    <cfRule type="cellIs" dxfId="14" priority="16" operator="equal">
      <formula>0</formula>
    </cfRule>
  </conditionalFormatting>
  <conditionalFormatting sqref="B3:B11">
    <cfRule type="cellIs" dxfId="13" priority="15" operator="equal">
      <formula>0</formula>
    </cfRule>
  </conditionalFormatting>
  <conditionalFormatting sqref="C3:C11">
    <cfRule type="cellIs" dxfId="12" priority="13" operator="equal">
      <formula>0</formula>
    </cfRule>
  </conditionalFormatting>
  <conditionalFormatting sqref="C3:C11">
    <cfRule type="cellIs" dxfId="11" priority="14" operator="equal">
      <formula>0</formula>
    </cfRule>
  </conditionalFormatting>
  <conditionalFormatting sqref="F4">
    <cfRule type="cellIs" dxfId="10" priority="11" operator="equal">
      <formula>0</formula>
    </cfRule>
  </conditionalFormatting>
  <conditionalFormatting sqref="F4">
    <cfRule type="cellIs" dxfId="9" priority="12" operator="equal">
      <formula>0</formula>
    </cfRule>
  </conditionalFormatting>
  <conditionalFormatting sqref="F5">
    <cfRule type="cellIs" dxfId="8" priority="9" operator="equal">
      <formula>0</formula>
    </cfRule>
  </conditionalFormatting>
  <conditionalFormatting sqref="F5">
    <cfRule type="cellIs" dxfId="7" priority="10" operator="equal">
      <formula>0</formula>
    </cfRule>
  </conditionalFormatting>
  <conditionalFormatting sqref="F6">
    <cfRule type="cellIs" dxfId="6" priority="7" operator="equal">
      <formula>0</formula>
    </cfRule>
  </conditionalFormatting>
  <conditionalFormatting sqref="F6">
    <cfRule type="cellIs" dxfId="5" priority="8" operator="equal">
      <formula>0</formula>
    </cfRule>
  </conditionalFormatting>
  <conditionalFormatting sqref="F3">
    <cfRule type="cellIs" dxfId="4" priority="5" operator="equal">
      <formula>0</formula>
    </cfRule>
  </conditionalFormatting>
  <conditionalFormatting sqref="F3">
    <cfRule type="cellIs" dxfId="3" priority="6" operator="equal">
      <formula>0</formula>
    </cfRule>
  </conditionalFormatting>
  <conditionalFormatting sqref="D3:D11">
    <cfRule type="cellIs" dxfId="2" priority="1" operator="equal">
      <formula>0</formula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{45EB909D-069E-4008-8A85-893474F2C363}</x14:id>
        </ext>
      </extLst>
    </cfRule>
  </conditionalFormatting>
  <conditionalFormatting sqref="E16">
    <cfRule type="cellIs" dxfId="1" priority="2" operator="lessThan">
      <formula>0</formula>
    </cfRule>
    <cfRule type="cellIs" dxfId="0" priority="3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3" orientation="portrait" horizontalDpi="1200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5EB909D-069E-4008-8A85-893474F2C36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D3:D11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F2075-6984-4C46-A582-0245411E055D}">
  <sheetPr codeName="Hoja38">
    <tabColor rgb="FF92D050"/>
  </sheetPr>
  <dimension ref="A1:U252"/>
  <sheetViews>
    <sheetView workbookViewId="0"/>
  </sheetViews>
  <sheetFormatPr baseColWidth="10" defaultColWidth="14.42578125" defaultRowHeight="15" outlineLevelRow="2"/>
  <cols>
    <col min="1" max="1" width="76" style="174" customWidth="1"/>
    <col min="2" max="2" width="3" bestFit="1" customWidth="1"/>
    <col min="3" max="3" width="11" bestFit="1" customWidth="1"/>
    <col min="4" max="4" width="24.42578125" bestFit="1" customWidth="1"/>
  </cols>
  <sheetData>
    <row r="1" spans="1:21" ht="32.25" thickBot="1">
      <c r="A1" s="1080" t="s">
        <v>1019</v>
      </c>
      <c r="B1" s="1081" t="s">
        <v>1249</v>
      </c>
      <c r="C1" s="1082" t="s">
        <v>1020</v>
      </c>
      <c r="F1" s="1083"/>
      <c r="G1" s="1083"/>
      <c r="H1" s="1083"/>
      <c r="I1" s="1083"/>
      <c r="J1" s="1083"/>
      <c r="K1" s="1083"/>
      <c r="L1" s="1083"/>
      <c r="M1" s="1083"/>
      <c r="N1" s="1083"/>
      <c r="O1" s="1083"/>
      <c r="P1" s="1083"/>
      <c r="Q1" s="1083"/>
      <c r="R1" s="1083"/>
      <c r="S1" s="1083"/>
      <c r="T1" s="1083"/>
      <c r="U1" s="1083"/>
    </row>
    <row r="2" spans="1:21" ht="16.5" thickBot="1">
      <c r="A2" s="1084" t="s">
        <v>916</v>
      </c>
      <c r="B2" s="1085"/>
      <c r="C2" s="1086"/>
      <c r="D2" s="1099" t="s">
        <v>1250</v>
      </c>
      <c r="E2" s="1083"/>
      <c r="F2" s="1083"/>
      <c r="G2" s="1083"/>
      <c r="H2" s="1083"/>
      <c r="I2" s="1083"/>
      <c r="J2" s="1083"/>
      <c r="K2" s="1083"/>
      <c r="L2" s="1083"/>
      <c r="M2" s="1083"/>
      <c r="N2" s="1083"/>
      <c r="O2" s="1083"/>
      <c r="P2" s="1083"/>
      <c r="Q2" s="1083"/>
      <c r="R2" s="1083"/>
      <c r="S2" s="1083"/>
      <c r="T2" s="1083"/>
      <c r="U2" s="1083"/>
    </row>
    <row r="3" spans="1:21" ht="16.5" outlineLevel="1" thickBot="1">
      <c r="A3" s="1095" t="s">
        <v>1021</v>
      </c>
      <c r="B3" s="1096"/>
      <c r="C3" s="1087" t="s">
        <v>341</v>
      </c>
      <c r="D3" s="1100" t="s">
        <v>1251</v>
      </c>
      <c r="E3" s="1083"/>
      <c r="F3" s="1083"/>
      <c r="G3" s="1083"/>
      <c r="H3" s="1083"/>
      <c r="I3" s="1083"/>
      <c r="J3" s="1083"/>
      <c r="K3" s="1083"/>
      <c r="L3" s="1083"/>
      <c r="M3" s="1083"/>
      <c r="N3" s="1083"/>
      <c r="O3" s="1083"/>
      <c r="P3" s="1083"/>
      <c r="Q3" s="1083"/>
      <c r="R3" s="1083"/>
      <c r="S3" s="1083"/>
      <c r="T3" s="1083"/>
      <c r="U3" s="1083"/>
    </row>
    <row r="4" spans="1:21" ht="15.75" outlineLevel="2" thickBot="1">
      <c r="A4" s="1088" t="s">
        <v>1022</v>
      </c>
      <c r="B4" s="1089"/>
      <c r="C4" s="1087"/>
      <c r="D4" s="1101" t="s">
        <v>1252</v>
      </c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</row>
    <row r="5" spans="1:21" outlineLevel="2">
      <c r="A5" s="1088" t="s">
        <v>1023</v>
      </c>
      <c r="B5" s="1089"/>
      <c r="C5" s="1087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</row>
    <row r="6" spans="1:21" outlineLevel="2">
      <c r="A6" s="1088" t="s">
        <v>1024</v>
      </c>
      <c r="B6" s="1090"/>
      <c r="C6" s="1087"/>
      <c r="E6" s="1083"/>
      <c r="F6" s="1083"/>
      <c r="G6" s="1083"/>
      <c r="H6" s="1083"/>
      <c r="I6" s="1083"/>
      <c r="J6" s="1083"/>
      <c r="K6" s="1083"/>
      <c r="L6" s="1083"/>
      <c r="M6" s="1083"/>
      <c r="N6" s="1083"/>
      <c r="O6" s="1083"/>
      <c r="P6" s="1083"/>
      <c r="Q6" s="1083"/>
      <c r="R6" s="1083"/>
      <c r="S6" s="1083"/>
      <c r="T6" s="1083"/>
      <c r="U6" s="1083"/>
    </row>
    <row r="7" spans="1:21" ht="15.75" outlineLevel="1">
      <c r="A7" s="1095" t="s">
        <v>1025</v>
      </c>
      <c r="B7" s="1096"/>
      <c r="C7" s="1086" t="s">
        <v>341</v>
      </c>
      <c r="D7" s="1083"/>
      <c r="E7" s="1083"/>
      <c r="F7" s="1083"/>
      <c r="G7" s="1083"/>
      <c r="H7" s="1083"/>
      <c r="I7" s="1083"/>
      <c r="J7" s="1083"/>
      <c r="K7" s="1083"/>
      <c r="L7" s="1083"/>
      <c r="M7" s="1083"/>
      <c r="N7" s="1083"/>
      <c r="O7" s="1083"/>
      <c r="P7" s="1083"/>
      <c r="Q7" s="1083"/>
      <c r="R7" s="1083"/>
      <c r="S7" s="1083"/>
      <c r="T7" s="1083"/>
      <c r="U7" s="1083"/>
    </row>
    <row r="8" spans="1:21" outlineLevel="2">
      <c r="A8" s="1088" t="s">
        <v>1026</v>
      </c>
      <c r="B8" s="1089"/>
      <c r="C8" s="1086"/>
      <c r="D8" s="1083"/>
      <c r="E8" s="1083"/>
      <c r="F8" s="1083"/>
      <c r="G8" s="1083"/>
      <c r="H8" s="1083"/>
      <c r="I8" s="1083"/>
      <c r="J8" s="1083"/>
      <c r="K8" s="1083"/>
      <c r="L8" s="1083"/>
      <c r="M8" s="1083"/>
      <c r="N8" s="1083"/>
      <c r="O8" s="1083"/>
      <c r="P8" s="1083"/>
      <c r="Q8" s="1083"/>
      <c r="R8" s="1083"/>
      <c r="S8" s="1083"/>
      <c r="T8" s="1083"/>
      <c r="U8" s="1083"/>
    </row>
    <row r="9" spans="1:21" outlineLevel="2">
      <c r="A9" s="1088" t="s">
        <v>1025</v>
      </c>
      <c r="B9" s="1089"/>
      <c r="C9" s="1086"/>
      <c r="D9" s="1083"/>
      <c r="E9" s="1083"/>
      <c r="F9" s="1083"/>
      <c r="G9" s="1083"/>
      <c r="H9" s="1083"/>
      <c r="I9" s="1083"/>
      <c r="J9" s="1083"/>
      <c r="K9" s="1083"/>
      <c r="L9" s="1083"/>
      <c r="M9" s="1083"/>
      <c r="N9" s="1083"/>
      <c r="O9" s="1083"/>
      <c r="P9" s="1083"/>
      <c r="Q9" s="1083"/>
      <c r="R9" s="1083"/>
      <c r="S9" s="1083"/>
      <c r="T9" s="1083"/>
      <c r="U9" s="1083"/>
    </row>
    <row r="10" spans="1:21" ht="15.75" outlineLevel="1">
      <c r="A10" s="1095" t="s">
        <v>1027</v>
      </c>
      <c r="B10" s="1096"/>
      <c r="C10" s="1087" t="s">
        <v>341</v>
      </c>
      <c r="G10" s="1083"/>
      <c r="H10" s="1083"/>
      <c r="I10" s="1083"/>
      <c r="J10" s="1083"/>
      <c r="K10" s="1083"/>
      <c r="L10" s="1083"/>
      <c r="M10" s="1083"/>
      <c r="N10" s="1083"/>
      <c r="O10" s="1083"/>
      <c r="P10" s="1083"/>
      <c r="Q10" s="1083"/>
      <c r="R10" s="1083"/>
      <c r="S10" s="1083"/>
      <c r="T10" s="1083"/>
      <c r="U10" s="1083"/>
    </row>
    <row r="11" spans="1:21" outlineLevel="2">
      <c r="A11" s="1088" t="s">
        <v>1028</v>
      </c>
      <c r="B11" s="1089"/>
      <c r="C11" s="1086"/>
      <c r="D11" s="1083"/>
      <c r="G11" s="1083"/>
      <c r="H11" s="1083"/>
      <c r="I11" s="1083"/>
      <c r="J11" s="1083"/>
      <c r="K11" s="1083"/>
      <c r="L11" s="1083"/>
      <c r="M11" s="1083"/>
      <c r="N11" s="1083"/>
      <c r="O11" s="1083"/>
      <c r="P11" s="1083"/>
      <c r="Q11" s="1083"/>
      <c r="R11" s="1083"/>
      <c r="S11" s="1083"/>
      <c r="T11" s="1083"/>
      <c r="U11" s="1083"/>
    </row>
    <row r="12" spans="1:21" outlineLevel="2">
      <c r="A12" s="1088" t="s">
        <v>1029</v>
      </c>
      <c r="B12" s="1089"/>
      <c r="C12" s="1086"/>
      <c r="D12" s="1083"/>
      <c r="G12" s="1083"/>
      <c r="H12" s="1083"/>
      <c r="I12" s="1083"/>
      <c r="J12" s="1083"/>
      <c r="K12" s="1083"/>
      <c r="L12" s="1083"/>
      <c r="M12" s="1083"/>
      <c r="N12" s="1083"/>
      <c r="O12" s="1083"/>
      <c r="P12" s="1083"/>
      <c r="Q12" s="1083"/>
      <c r="R12" s="1083"/>
      <c r="S12" s="1083"/>
      <c r="T12" s="1083"/>
      <c r="U12" s="1083"/>
    </row>
    <row r="13" spans="1:21" outlineLevel="2">
      <c r="A13" s="1088" t="s">
        <v>1030</v>
      </c>
      <c r="B13" s="1089"/>
      <c r="C13" s="1086"/>
      <c r="D13" s="1083"/>
      <c r="G13" s="1083"/>
      <c r="H13" s="1083"/>
      <c r="I13" s="1083"/>
      <c r="J13" s="1083"/>
      <c r="K13" s="1083"/>
      <c r="L13" s="1083"/>
      <c r="M13" s="1083"/>
      <c r="N13" s="1083"/>
      <c r="O13" s="1083"/>
      <c r="P13" s="1083"/>
      <c r="Q13" s="1083"/>
      <c r="R13" s="1083"/>
      <c r="S13" s="1083"/>
      <c r="T13" s="1083"/>
      <c r="U13" s="1083"/>
    </row>
    <row r="14" spans="1:21" outlineLevel="2">
      <c r="A14" s="1088" t="s">
        <v>1031</v>
      </c>
      <c r="B14" s="1089"/>
      <c r="C14" s="1086"/>
      <c r="D14" s="1083"/>
      <c r="G14" s="1083"/>
      <c r="H14" s="1083"/>
      <c r="I14" s="1083"/>
      <c r="J14" s="1083"/>
      <c r="K14" s="1083"/>
      <c r="L14" s="1083"/>
      <c r="M14" s="1083"/>
      <c r="N14" s="1083"/>
      <c r="O14" s="1083"/>
      <c r="P14" s="1083"/>
      <c r="Q14" s="1083"/>
      <c r="R14" s="1083"/>
      <c r="S14" s="1083"/>
      <c r="T14" s="1083"/>
      <c r="U14" s="1083"/>
    </row>
    <row r="15" spans="1:21" outlineLevel="2">
      <c r="A15" s="1088" t="s">
        <v>1032</v>
      </c>
      <c r="B15" s="1089"/>
      <c r="C15" s="1086"/>
      <c r="D15" s="1083"/>
      <c r="G15" s="1083"/>
      <c r="H15" s="1083"/>
      <c r="I15" s="1083"/>
      <c r="J15" s="1083"/>
      <c r="K15" s="1083"/>
      <c r="L15" s="1083"/>
      <c r="M15" s="1083"/>
      <c r="N15" s="1083"/>
      <c r="O15" s="1083"/>
      <c r="P15" s="1083"/>
      <c r="Q15" s="1083"/>
      <c r="R15" s="1083"/>
      <c r="S15" s="1083"/>
      <c r="T15" s="1083"/>
      <c r="U15" s="1083"/>
    </row>
    <row r="16" spans="1:21" outlineLevel="2">
      <c r="A16" s="1088" t="s">
        <v>1033</v>
      </c>
      <c r="B16" s="1089"/>
      <c r="C16" s="1086"/>
      <c r="D16" s="1083"/>
      <c r="G16" s="1083"/>
      <c r="H16" s="1083"/>
      <c r="I16" s="1083"/>
      <c r="J16" s="1083"/>
      <c r="K16" s="1083"/>
      <c r="L16" s="1083"/>
      <c r="M16" s="1083"/>
      <c r="N16" s="1083"/>
      <c r="O16" s="1083"/>
      <c r="P16" s="1083"/>
      <c r="Q16" s="1083"/>
      <c r="R16" s="1083"/>
      <c r="S16" s="1083"/>
      <c r="T16" s="1083"/>
      <c r="U16" s="1083"/>
    </row>
    <row r="17" spans="1:21" ht="15.75">
      <c r="A17" s="1084" t="s">
        <v>920</v>
      </c>
      <c r="B17" s="1085"/>
      <c r="C17" s="1083"/>
      <c r="D17" s="1083"/>
      <c r="E17" s="1083"/>
      <c r="F17" s="1083"/>
      <c r="G17" s="1083"/>
      <c r="H17" s="1083"/>
      <c r="I17" s="1083"/>
      <c r="J17" s="1083"/>
      <c r="K17" s="1083"/>
      <c r="L17" s="1083"/>
      <c r="M17" s="1083"/>
      <c r="N17" s="1083"/>
      <c r="O17" s="1083"/>
      <c r="P17" s="1083"/>
      <c r="Q17" s="1083"/>
      <c r="R17" s="1083"/>
      <c r="S17" s="1083"/>
      <c r="T17" s="1083"/>
      <c r="U17" s="1083"/>
    </row>
    <row r="18" spans="1:21" ht="15.75" outlineLevel="1">
      <c r="A18" s="1095" t="s">
        <v>1034</v>
      </c>
      <c r="B18" s="1096"/>
      <c r="C18" s="1087" t="s">
        <v>341</v>
      </c>
      <c r="G18" s="1083"/>
      <c r="H18" s="1083"/>
      <c r="I18" s="1083"/>
      <c r="J18" s="1083"/>
      <c r="K18" s="1083"/>
      <c r="L18" s="1083"/>
      <c r="M18" s="1083"/>
      <c r="N18" s="1083"/>
      <c r="O18" s="1083"/>
      <c r="P18" s="1083"/>
      <c r="Q18" s="1083"/>
      <c r="R18" s="1083"/>
      <c r="S18" s="1083"/>
      <c r="T18" s="1083"/>
      <c r="U18" s="1083"/>
    </row>
    <row r="19" spans="1:21" ht="30" outlineLevel="2">
      <c r="A19" s="1088" t="s">
        <v>1035</v>
      </c>
      <c r="B19" s="1089"/>
      <c r="C19" s="1083"/>
      <c r="D19" s="1083"/>
      <c r="E19" s="1083"/>
      <c r="F19" s="1083"/>
      <c r="G19" s="1083"/>
      <c r="H19" s="1083"/>
      <c r="I19" s="1083"/>
      <c r="J19" s="1083"/>
      <c r="K19" s="1083"/>
      <c r="L19" s="1083"/>
      <c r="M19" s="1083"/>
      <c r="N19" s="1083"/>
      <c r="O19" s="1083"/>
      <c r="P19" s="1083"/>
      <c r="Q19" s="1083"/>
      <c r="R19" s="1083"/>
      <c r="S19" s="1083"/>
      <c r="T19" s="1083"/>
      <c r="U19" s="1083"/>
    </row>
    <row r="20" spans="1:21" outlineLevel="2">
      <c r="A20" s="1088" t="s">
        <v>1036</v>
      </c>
      <c r="B20" s="1089"/>
      <c r="C20" s="1083"/>
      <c r="D20" s="1083"/>
      <c r="E20" s="1083"/>
      <c r="F20" s="1083"/>
      <c r="G20" s="1083"/>
      <c r="H20" s="1083"/>
      <c r="I20" s="1083"/>
      <c r="J20" s="1083"/>
      <c r="K20" s="1083"/>
      <c r="L20" s="1083"/>
      <c r="M20" s="1083"/>
      <c r="N20" s="1083"/>
      <c r="O20" s="1083"/>
      <c r="P20" s="1083"/>
      <c r="Q20" s="1083"/>
      <c r="R20" s="1083"/>
      <c r="S20" s="1083"/>
      <c r="T20" s="1083"/>
      <c r="U20" s="1083"/>
    </row>
    <row r="21" spans="1:21" ht="30" outlineLevel="2">
      <c r="A21" s="1088" t="s">
        <v>1037</v>
      </c>
      <c r="B21" s="1089"/>
      <c r="C21" s="1083"/>
      <c r="D21" s="1083"/>
      <c r="E21" s="1083"/>
      <c r="F21" s="1083"/>
      <c r="G21" s="1083"/>
      <c r="H21" s="1083"/>
      <c r="I21" s="1083"/>
      <c r="J21" s="1083"/>
      <c r="K21" s="1083"/>
      <c r="L21" s="1083"/>
      <c r="M21" s="1083"/>
      <c r="N21" s="1083"/>
      <c r="O21" s="1083"/>
      <c r="P21" s="1083"/>
      <c r="Q21" s="1083"/>
      <c r="R21" s="1083"/>
      <c r="S21" s="1083"/>
      <c r="T21" s="1083"/>
      <c r="U21" s="1083"/>
    </row>
    <row r="22" spans="1:21" ht="15.75" outlineLevel="1">
      <c r="A22" s="1095" t="s">
        <v>1038</v>
      </c>
      <c r="B22" s="1096"/>
      <c r="C22" s="1087" t="s">
        <v>341</v>
      </c>
      <c r="F22" s="1083"/>
      <c r="G22" s="1083"/>
      <c r="H22" s="1083"/>
      <c r="I22" s="1083"/>
      <c r="J22" s="1083"/>
      <c r="K22" s="1083"/>
      <c r="L22" s="1083"/>
      <c r="M22" s="1083"/>
      <c r="N22" s="1083"/>
      <c r="O22" s="1083"/>
      <c r="P22" s="1083"/>
      <c r="Q22" s="1083"/>
      <c r="R22" s="1083"/>
      <c r="S22" s="1083"/>
      <c r="T22" s="1083"/>
      <c r="U22" s="1083"/>
    </row>
    <row r="23" spans="1:21" outlineLevel="2">
      <c r="A23" s="1088" t="s">
        <v>1039</v>
      </c>
      <c r="B23" s="1089"/>
      <c r="C23" s="1083"/>
      <c r="D23" s="1083"/>
      <c r="E23" s="1083"/>
      <c r="F23" s="1083"/>
      <c r="G23" s="1083"/>
      <c r="H23" s="1083"/>
      <c r="I23" s="1083"/>
      <c r="J23" s="1083"/>
      <c r="K23" s="1083"/>
      <c r="L23" s="1083"/>
      <c r="M23" s="1083"/>
      <c r="N23" s="1083"/>
      <c r="O23" s="1083"/>
      <c r="P23" s="1083"/>
      <c r="Q23" s="1083"/>
      <c r="R23" s="1083"/>
      <c r="S23" s="1083"/>
      <c r="T23" s="1083"/>
      <c r="U23" s="1083"/>
    </row>
    <row r="24" spans="1:21" outlineLevel="2">
      <c r="A24" s="1088" t="s">
        <v>1040</v>
      </c>
      <c r="B24" s="1089"/>
      <c r="C24" s="1083"/>
      <c r="D24" s="1083"/>
      <c r="E24" s="1083"/>
      <c r="F24" s="1083"/>
      <c r="G24" s="1083"/>
      <c r="H24" s="1083"/>
      <c r="I24" s="1083"/>
      <c r="J24" s="1083"/>
      <c r="K24" s="1083"/>
      <c r="L24" s="1083"/>
      <c r="M24" s="1083"/>
      <c r="N24" s="1083"/>
      <c r="O24" s="1083"/>
      <c r="P24" s="1083"/>
      <c r="Q24" s="1083"/>
      <c r="R24" s="1083"/>
      <c r="S24" s="1083"/>
      <c r="T24" s="1083"/>
      <c r="U24" s="1083"/>
    </row>
    <row r="25" spans="1:21" outlineLevel="2">
      <c r="A25" s="1088" t="s">
        <v>1041</v>
      </c>
      <c r="B25" s="1089"/>
      <c r="C25" s="1083"/>
      <c r="D25" s="1083"/>
      <c r="E25" s="1083"/>
      <c r="F25" s="1083"/>
      <c r="G25" s="1083"/>
      <c r="H25" s="1083"/>
      <c r="I25" s="1083"/>
      <c r="J25" s="1083"/>
      <c r="K25" s="1083"/>
      <c r="L25" s="1083"/>
      <c r="M25" s="1083"/>
      <c r="N25" s="1083"/>
      <c r="O25" s="1083"/>
      <c r="P25" s="1083"/>
      <c r="Q25" s="1083"/>
      <c r="R25" s="1083"/>
      <c r="S25" s="1083"/>
      <c r="T25" s="1083"/>
      <c r="U25" s="1083"/>
    </row>
    <row r="26" spans="1:21" outlineLevel="2">
      <c r="A26" s="1088" t="s">
        <v>1042</v>
      </c>
      <c r="B26" s="1089"/>
      <c r="C26" s="1083"/>
      <c r="D26" s="1083"/>
      <c r="E26" s="1083"/>
      <c r="F26" s="1083"/>
      <c r="G26" s="1083"/>
      <c r="H26" s="1083"/>
      <c r="I26" s="1083"/>
      <c r="J26" s="1083"/>
      <c r="K26" s="1083"/>
      <c r="L26" s="1083"/>
      <c r="M26" s="1083"/>
      <c r="N26" s="1083"/>
      <c r="O26" s="1083"/>
      <c r="P26" s="1083"/>
      <c r="Q26" s="1083"/>
      <c r="R26" s="1083"/>
      <c r="S26" s="1083"/>
      <c r="T26" s="1083"/>
      <c r="U26" s="1083"/>
    </row>
    <row r="27" spans="1:21" ht="15.75" outlineLevel="1">
      <c r="A27" s="1095" t="s">
        <v>1043</v>
      </c>
      <c r="B27" s="1096"/>
      <c r="C27" s="1087" t="s">
        <v>341</v>
      </c>
      <c r="L27" s="1083"/>
      <c r="M27" s="1083"/>
      <c r="N27" s="1083"/>
      <c r="O27" s="1083"/>
      <c r="P27" s="1083"/>
      <c r="Q27" s="1083"/>
      <c r="R27" s="1083"/>
      <c r="S27" s="1083"/>
      <c r="T27" s="1083"/>
      <c r="U27" s="1083"/>
    </row>
    <row r="28" spans="1:21" ht="34.5" customHeight="1" outlineLevel="2">
      <c r="A28" s="1091" t="s">
        <v>1044</v>
      </c>
      <c r="B28" s="1089"/>
      <c r="C28" s="1083"/>
      <c r="D28" s="1083"/>
      <c r="E28" s="1083"/>
      <c r="F28" s="1083"/>
      <c r="G28" s="1083"/>
      <c r="H28" s="1083"/>
      <c r="I28" s="1083"/>
      <c r="J28" s="1083"/>
      <c r="K28" s="1083"/>
      <c r="L28" s="1083"/>
      <c r="M28" s="1083"/>
      <c r="N28" s="1083"/>
      <c r="O28" s="1083"/>
      <c r="P28" s="1083"/>
      <c r="Q28" s="1083"/>
      <c r="R28" s="1083"/>
      <c r="S28" s="1083"/>
      <c r="T28" s="1083"/>
      <c r="U28" s="1083"/>
    </row>
    <row r="29" spans="1:21" ht="15.75" outlineLevel="1">
      <c r="A29" s="1095" t="s">
        <v>1045</v>
      </c>
      <c r="B29" s="1096"/>
      <c r="C29" s="1087" t="s">
        <v>341</v>
      </c>
      <c r="F29" s="1083"/>
      <c r="G29" s="1083"/>
      <c r="H29" s="1083"/>
      <c r="I29" s="1083"/>
      <c r="J29" s="1083"/>
      <c r="K29" s="1083"/>
      <c r="L29" s="1083"/>
      <c r="M29" s="1083"/>
      <c r="N29" s="1083"/>
      <c r="O29" s="1083"/>
      <c r="P29" s="1083"/>
      <c r="Q29" s="1083"/>
      <c r="R29" s="1083"/>
      <c r="S29" s="1083"/>
      <c r="T29" s="1083"/>
      <c r="U29" s="1083"/>
    </row>
    <row r="30" spans="1:21" ht="34.5" customHeight="1" outlineLevel="2">
      <c r="A30" s="1091" t="s">
        <v>1046</v>
      </c>
      <c r="B30" s="1091"/>
      <c r="C30" s="1092"/>
      <c r="D30" s="1092"/>
      <c r="E30" s="1083"/>
      <c r="F30" s="1083"/>
      <c r="G30" s="1083"/>
      <c r="H30" s="1083"/>
      <c r="I30" s="1083"/>
      <c r="J30" s="1083"/>
      <c r="K30" s="1083"/>
      <c r="L30" s="1083"/>
      <c r="M30" s="1083"/>
      <c r="N30" s="1083"/>
      <c r="O30" s="1083"/>
      <c r="P30" s="1083"/>
      <c r="Q30" s="1083"/>
      <c r="R30" s="1083"/>
      <c r="S30" s="1083"/>
      <c r="T30" s="1083"/>
      <c r="U30" s="1083"/>
    </row>
    <row r="31" spans="1:21" ht="15.75" outlineLevel="1">
      <c r="A31" s="1095" t="s">
        <v>1047</v>
      </c>
      <c r="B31" s="1096"/>
      <c r="C31" s="1087" t="s">
        <v>341</v>
      </c>
      <c r="D31" s="1083"/>
      <c r="E31" s="1083"/>
      <c r="F31" s="1083"/>
      <c r="G31" s="1083"/>
      <c r="H31" s="1083"/>
      <c r="I31" s="1083"/>
      <c r="J31" s="1083"/>
      <c r="K31" s="1083"/>
      <c r="L31" s="1083"/>
      <c r="M31" s="1083"/>
      <c r="N31" s="1083"/>
      <c r="O31" s="1083"/>
      <c r="P31" s="1083"/>
      <c r="Q31" s="1083"/>
      <c r="R31" s="1083"/>
      <c r="S31" s="1083"/>
      <c r="T31" s="1083"/>
      <c r="U31" s="1083"/>
    </row>
    <row r="32" spans="1:21" outlineLevel="2">
      <c r="A32" s="1088" t="s">
        <v>1048</v>
      </c>
      <c r="B32" s="1090"/>
      <c r="D32" s="1083"/>
      <c r="E32" s="1083"/>
      <c r="F32" s="1083"/>
      <c r="G32" s="1083"/>
      <c r="H32" s="1083"/>
      <c r="I32" s="1083"/>
      <c r="J32" s="1083"/>
      <c r="K32" s="1083"/>
      <c r="L32" s="1083"/>
      <c r="M32" s="1083"/>
      <c r="N32" s="1083"/>
      <c r="O32" s="1083"/>
      <c r="P32" s="1083"/>
      <c r="Q32" s="1083"/>
      <c r="R32" s="1083"/>
      <c r="S32" s="1083"/>
      <c r="T32" s="1083"/>
      <c r="U32" s="1083"/>
    </row>
    <row r="33" spans="1:21" ht="15.75" outlineLevel="1">
      <c r="A33" s="1095" t="s">
        <v>1049</v>
      </c>
      <c r="B33" s="1096"/>
      <c r="C33" s="1087" t="s">
        <v>341</v>
      </c>
      <c r="G33" s="1083"/>
      <c r="H33" s="1083"/>
      <c r="I33" s="1083"/>
      <c r="J33" s="1083"/>
      <c r="K33" s="1083"/>
      <c r="L33" s="1083"/>
      <c r="M33" s="1083"/>
      <c r="N33" s="1083"/>
      <c r="O33" s="1083"/>
      <c r="P33" s="1083"/>
      <c r="Q33" s="1083"/>
      <c r="R33" s="1083"/>
      <c r="S33" s="1083"/>
      <c r="T33" s="1083"/>
      <c r="U33" s="1083"/>
    </row>
    <row r="34" spans="1:21" ht="33.75" customHeight="1" outlineLevel="2">
      <c r="A34" s="1091" t="s">
        <v>1050</v>
      </c>
      <c r="B34" s="1091"/>
      <c r="C34" s="1092"/>
      <c r="D34" s="1092"/>
      <c r="E34" s="1092"/>
      <c r="F34" s="1083"/>
      <c r="G34" s="1083"/>
      <c r="H34" s="1083"/>
      <c r="I34" s="1083"/>
      <c r="J34" s="1083"/>
      <c r="K34" s="1083"/>
      <c r="L34" s="1083"/>
      <c r="M34" s="1083"/>
      <c r="N34" s="1083"/>
      <c r="O34" s="1083"/>
      <c r="P34" s="1083"/>
      <c r="Q34" s="1083"/>
      <c r="R34" s="1083"/>
      <c r="S34" s="1083"/>
      <c r="T34" s="1083"/>
      <c r="U34" s="1083"/>
    </row>
    <row r="35" spans="1:21" ht="15.75">
      <c r="A35" s="1084" t="s">
        <v>927</v>
      </c>
      <c r="B35" s="1085"/>
      <c r="C35" s="1083"/>
      <c r="D35" s="1083"/>
      <c r="E35" s="1083"/>
      <c r="F35" s="1083"/>
      <c r="G35" s="1083"/>
      <c r="H35" s="1083"/>
      <c r="I35" s="1083"/>
      <c r="J35" s="1083"/>
      <c r="K35" s="1083"/>
      <c r="L35" s="1083"/>
      <c r="M35" s="1083"/>
      <c r="N35" s="1083"/>
      <c r="O35" s="1083"/>
      <c r="P35" s="1083"/>
      <c r="Q35" s="1083"/>
      <c r="R35" s="1083"/>
      <c r="S35" s="1083"/>
      <c r="T35" s="1083"/>
      <c r="U35" s="1083"/>
    </row>
    <row r="36" spans="1:21" ht="15.75" outlineLevel="1">
      <c r="A36" s="1095" t="s">
        <v>1051</v>
      </c>
      <c r="B36" s="1096"/>
      <c r="C36" s="1087" t="s">
        <v>341</v>
      </c>
      <c r="L36" s="1083"/>
      <c r="M36" s="1083"/>
      <c r="N36" s="1083"/>
      <c r="O36" s="1083"/>
      <c r="P36" s="1083"/>
      <c r="Q36" s="1083"/>
      <c r="R36" s="1083"/>
      <c r="S36" s="1083"/>
      <c r="T36" s="1083"/>
      <c r="U36" s="1083"/>
    </row>
    <row r="37" spans="1:21" outlineLevel="2">
      <c r="A37" s="1088" t="s">
        <v>1052</v>
      </c>
      <c r="B37" s="1089"/>
      <c r="C37" s="1083"/>
      <c r="D37" s="1083"/>
      <c r="E37" s="1083"/>
      <c r="F37" s="1083"/>
      <c r="L37" s="1083"/>
      <c r="M37" s="1083"/>
      <c r="N37" s="1083"/>
      <c r="O37" s="1083"/>
      <c r="P37" s="1083"/>
      <c r="Q37" s="1083"/>
      <c r="R37" s="1083"/>
      <c r="S37" s="1083"/>
      <c r="T37" s="1083"/>
      <c r="U37" s="1083"/>
    </row>
    <row r="38" spans="1:21" outlineLevel="2">
      <c r="A38" s="1088" t="s">
        <v>1053</v>
      </c>
      <c r="B38" s="1089"/>
      <c r="C38" s="1083"/>
      <c r="D38" s="1083"/>
      <c r="E38" s="1083"/>
      <c r="F38" s="1083"/>
      <c r="L38" s="1083"/>
      <c r="M38" s="1083"/>
      <c r="N38" s="1083"/>
      <c r="O38" s="1083"/>
      <c r="P38" s="1083"/>
      <c r="Q38" s="1083"/>
      <c r="R38" s="1083"/>
      <c r="S38" s="1083"/>
      <c r="T38" s="1083"/>
      <c r="U38" s="1083"/>
    </row>
    <row r="39" spans="1:21" outlineLevel="2">
      <c r="A39" s="1088" t="s">
        <v>1054</v>
      </c>
      <c r="B39" s="1089"/>
      <c r="C39" s="1083"/>
      <c r="D39" s="1083"/>
      <c r="E39" s="1083"/>
      <c r="F39" s="1083"/>
      <c r="L39" s="1083"/>
      <c r="M39" s="1083"/>
      <c r="N39" s="1083"/>
      <c r="O39" s="1083"/>
      <c r="P39" s="1083"/>
      <c r="Q39" s="1083"/>
      <c r="R39" s="1083"/>
      <c r="S39" s="1083"/>
      <c r="T39" s="1083"/>
      <c r="U39" s="1083"/>
    </row>
    <row r="40" spans="1:21" outlineLevel="2">
      <c r="A40" s="1088" t="s">
        <v>1055</v>
      </c>
      <c r="B40" s="1089"/>
      <c r="C40" s="1083"/>
      <c r="D40" s="1083"/>
      <c r="E40" s="1083"/>
      <c r="F40" s="1083"/>
      <c r="L40" s="1083"/>
      <c r="M40" s="1083"/>
      <c r="N40" s="1083"/>
      <c r="O40" s="1083"/>
      <c r="P40" s="1083"/>
      <c r="Q40" s="1083"/>
      <c r="R40" s="1083"/>
      <c r="S40" s="1083"/>
      <c r="T40" s="1083"/>
      <c r="U40" s="1083"/>
    </row>
    <row r="41" spans="1:21" outlineLevel="2">
      <c r="A41" s="1088" t="s">
        <v>1056</v>
      </c>
      <c r="B41" s="1089"/>
      <c r="C41" s="1083"/>
      <c r="D41" s="1083"/>
      <c r="E41" s="1083"/>
      <c r="F41" s="1083"/>
      <c r="L41" s="1083"/>
      <c r="M41" s="1083"/>
      <c r="N41" s="1083"/>
      <c r="O41" s="1083"/>
      <c r="P41" s="1083"/>
      <c r="Q41" s="1083"/>
      <c r="R41" s="1083"/>
      <c r="S41" s="1083"/>
      <c r="T41" s="1083"/>
      <c r="U41" s="1083"/>
    </row>
    <row r="42" spans="1:21" outlineLevel="2">
      <c r="A42" s="1088" t="s">
        <v>1057</v>
      </c>
      <c r="B42" s="1089"/>
      <c r="C42" s="1083"/>
      <c r="D42" s="1083"/>
      <c r="E42" s="1083"/>
      <c r="F42" s="1083"/>
      <c r="L42" s="1083"/>
      <c r="M42" s="1083"/>
      <c r="N42" s="1083"/>
      <c r="O42" s="1083"/>
      <c r="P42" s="1083"/>
      <c r="Q42" s="1083"/>
      <c r="R42" s="1083"/>
      <c r="S42" s="1083"/>
      <c r="T42" s="1083"/>
      <c r="U42" s="1083"/>
    </row>
    <row r="43" spans="1:21" outlineLevel="2">
      <c r="A43" s="1088" t="s">
        <v>1058</v>
      </c>
      <c r="B43" s="1089"/>
      <c r="C43" s="1083"/>
      <c r="D43" s="1083"/>
      <c r="E43" s="1083"/>
      <c r="F43" s="1083"/>
      <c r="L43" s="1083"/>
      <c r="M43" s="1083"/>
      <c r="N43" s="1083"/>
      <c r="O43" s="1083"/>
      <c r="P43" s="1083"/>
      <c r="Q43" s="1083"/>
      <c r="R43" s="1083"/>
      <c r="S43" s="1083"/>
      <c r="T43" s="1083"/>
      <c r="U43" s="1083"/>
    </row>
    <row r="44" spans="1:21" outlineLevel="2">
      <c r="A44" s="1088" t="s">
        <v>1059</v>
      </c>
      <c r="B44" s="1090"/>
      <c r="D44" s="1083"/>
      <c r="E44" s="1083"/>
      <c r="F44" s="1083"/>
      <c r="L44" s="1083"/>
      <c r="M44" s="1083"/>
      <c r="N44" s="1083"/>
      <c r="O44" s="1083"/>
      <c r="P44" s="1083"/>
      <c r="Q44" s="1083"/>
      <c r="R44" s="1083"/>
      <c r="S44" s="1083"/>
      <c r="T44" s="1083"/>
      <c r="U44" s="1083"/>
    </row>
    <row r="45" spans="1:21" ht="15.75" outlineLevel="1">
      <c r="A45" s="1095" t="s">
        <v>1060</v>
      </c>
      <c r="B45" s="1096"/>
      <c r="C45" s="1087" t="s">
        <v>341</v>
      </c>
      <c r="D45" s="1083"/>
      <c r="E45" s="1083"/>
      <c r="F45" s="1083"/>
      <c r="G45" s="1083"/>
      <c r="H45" s="1083"/>
      <c r="I45" s="1083"/>
      <c r="J45" s="1083"/>
      <c r="K45" s="1083"/>
      <c r="L45" s="1083"/>
      <c r="M45" s="1083"/>
      <c r="N45" s="1083"/>
      <c r="O45" s="1083"/>
      <c r="P45" s="1083"/>
      <c r="Q45" s="1083"/>
      <c r="R45" s="1083"/>
      <c r="S45" s="1083"/>
      <c r="T45" s="1083"/>
      <c r="U45" s="1083"/>
    </row>
    <row r="46" spans="1:21" outlineLevel="2">
      <c r="A46" s="1088" t="s">
        <v>1061</v>
      </c>
      <c r="B46" s="1090"/>
      <c r="D46" s="1083"/>
      <c r="E46" s="1083"/>
      <c r="F46" s="1083"/>
      <c r="G46" s="1083"/>
      <c r="H46" s="1083"/>
      <c r="I46" s="1083"/>
      <c r="J46" s="1083"/>
      <c r="K46" s="1083"/>
      <c r="L46" s="1083"/>
      <c r="M46" s="1083"/>
      <c r="N46" s="1083"/>
      <c r="O46" s="1083"/>
      <c r="P46" s="1083"/>
      <c r="Q46" s="1083"/>
      <c r="R46" s="1083"/>
      <c r="S46" s="1083"/>
      <c r="T46" s="1083"/>
      <c r="U46" s="1083"/>
    </row>
    <row r="47" spans="1:21" ht="15.75" outlineLevel="1">
      <c r="A47" s="1095" t="s">
        <v>1062</v>
      </c>
      <c r="B47" s="1096"/>
      <c r="C47" s="1087" t="s">
        <v>341</v>
      </c>
      <c r="F47" s="1083"/>
      <c r="G47" s="1083"/>
      <c r="H47" s="1083"/>
      <c r="I47" s="1083"/>
      <c r="J47" s="1083"/>
      <c r="K47" s="1083"/>
      <c r="L47" s="1083"/>
      <c r="M47" s="1083"/>
      <c r="N47" s="1083"/>
      <c r="O47" s="1083"/>
      <c r="P47" s="1083"/>
      <c r="Q47" s="1083"/>
      <c r="R47" s="1083"/>
      <c r="S47" s="1083"/>
      <c r="T47" s="1083"/>
      <c r="U47" s="1083"/>
    </row>
    <row r="48" spans="1:21" outlineLevel="2">
      <c r="A48" s="1088" t="s">
        <v>1063</v>
      </c>
      <c r="B48" s="1089"/>
      <c r="C48" s="1083"/>
      <c r="D48" s="1083"/>
      <c r="E48" s="1083"/>
      <c r="F48" s="1083"/>
      <c r="G48" s="1083"/>
      <c r="H48" s="1083"/>
      <c r="I48" s="1083"/>
      <c r="J48" s="1083"/>
      <c r="K48" s="1083"/>
      <c r="L48" s="1083"/>
      <c r="M48" s="1083"/>
      <c r="N48" s="1083"/>
      <c r="O48" s="1083"/>
      <c r="P48" s="1083"/>
      <c r="Q48" s="1083"/>
      <c r="R48" s="1083"/>
      <c r="S48" s="1083"/>
      <c r="T48" s="1083"/>
      <c r="U48" s="1083"/>
    </row>
    <row r="49" spans="1:21" outlineLevel="2">
      <c r="A49" s="1088" t="s">
        <v>1064</v>
      </c>
      <c r="B49" s="1089"/>
      <c r="C49" s="1083"/>
      <c r="D49" s="1083"/>
      <c r="E49" s="1083"/>
      <c r="F49" s="1083"/>
      <c r="G49" s="1083"/>
      <c r="H49" s="1083"/>
      <c r="I49" s="1083"/>
      <c r="J49" s="1083"/>
      <c r="K49" s="1083"/>
      <c r="L49" s="1083"/>
      <c r="M49" s="1083"/>
      <c r="N49" s="1083"/>
      <c r="O49" s="1083"/>
      <c r="P49" s="1083"/>
      <c r="Q49" s="1083"/>
      <c r="R49" s="1083"/>
      <c r="S49" s="1083"/>
      <c r="T49" s="1083"/>
      <c r="U49" s="1083"/>
    </row>
    <row r="50" spans="1:21" ht="15.75" outlineLevel="1">
      <c r="A50" s="1095" t="s">
        <v>1065</v>
      </c>
      <c r="B50" s="1096"/>
      <c r="C50" s="1087" t="s">
        <v>341</v>
      </c>
      <c r="D50" s="1083"/>
      <c r="E50" s="1083"/>
      <c r="F50" s="1083"/>
      <c r="G50" s="1083"/>
      <c r="H50" s="1083"/>
      <c r="I50" s="1083"/>
      <c r="J50" s="1083"/>
      <c r="K50" s="1083"/>
      <c r="L50" s="1083"/>
      <c r="M50" s="1083"/>
      <c r="N50" s="1083"/>
      <c r="O50" s="1083"/>
      <c r="P50" s="1083"/>
      <c r="Q50" s="1083"/>
      <c r="R50" s="1083"/>
      <c r="S50" s="1083"/>
      <c r="T50" s="1083"/>
      <c r="U50" s="1083"/>
    </row>
    <row r="51" spans="1:21" outlineLevel="2">
      <c r="A51" s="1088" t="s">
        <v>1066</v>
      </c>
      <c r="B51" s="1090"/>
      <c r="D51" s="1083"/>
      <c r="E51" s="1083"/>
      <c r="F51" s="1083"/>
      <c r="G51" s="1083"/>
      <c r="H51" s="1083"/>
      <c r="I51" s="1083"/>
      <c r="J51" s="1083"/>
      <c r="K51" s="1083"/>
      <c r="L51" s="1083"/>
      <c r="M51" s="1083"/>
      <c r="N51" s="1083"/>
      <c r="O51" s="1083"/>
      <c r="P51" s="1083"/>
      <c r="Q51" s="1083"/>
      <c r="R51" s="1083"/>
      <c r="S51" s="1083"/>
      <c r="T51" s="1083"/>
      <c r="U51" s="1083"/>
    </row>
    <row r="52" spans="1:21" ht="15.75" outlineLevel="1">
      <c r="A52" s="1095" t="s">
        <v>1067</v>
      </c>
      <c r="B52" s="1096"/>
      <c r="C52" s="1087" t="s">
        <v>341</v>
      </c>
      <c r="D52" s="1083"/>
      <c r="E52" s="1083"/>
      <c r="F52" s="1083"/>
      <c r="G52" s="1083"/>
      <c r="H52" s="1083"/>
      <c r="I52" s="1083"/>
      <c r="J52" s="1083"/>
      <c r="K52" s="1083"/>
      <c r="L52" s="1083"/>
      <c r="M52" s="1083"/>
      <c r="N52" s="1083"/>
      <c r="O52" s="1083"/>
      <c r="P52" s="1083"/>
      <c r="Q52" s="1083"/>
      <c r="R52" s="1083"/>
      <c r="S52" s="1083"/>
      <c r="T52" s="1083"/>
      <c r="U52" s="1083"/>
    </row>
    <row r="53" spans="1:21" outlineLevel="2">
      <c r="A53" s="1088" t="s">
        <v>1068</v>
      </c>
      <c r="B53" s="1090"/>
      <c r="D53" s="1083"/>
      <c r="E53" s="1083"/>
      <c r="F53" s="1083"/>
      <c r="G53" s="1083"/>
      <c r="H53" s="1083"/>
      <c r="I53" s="1083"/>
      <c r="J53" s="1083"/>
      <c r="K53" s="1083"/>
      <c r="L53" s="1083"/>
      <c r="M53" s="1083"/>
      <c r="N53" s="1083"/>
      <c r="O53" s="1083"/>
      <c r="P53" s="1083"/>
      <c r="Q53" s="1083"/>
      <c r="R53" s="1083"/>
      <c r="S53" s="1083"/>
      <c r="T53" s="1083"/>
      <c r="U53" s="1083"/>
    </row>
    <row r="54" spans="1:21" ht="15.75" outlineLevel="1">
      <c r="A54" s="1095" t="s">
        <v>1069</v>
      </c>
      <c r="B54" s="1096"/>
      <c r="C54" s="1087" t="s">
        <v>341</v>
      </c>
      <c r="E54" s="1083"/>
      <c r="F54" s="1083"/>
      <c r="G54" s="1083"/>
      <c r="H54" s="1083"/>
      <c r="I54" s="1083"/>
      <c r="J54" s="1083"/>
      <c r="K54" s="1083"/>
      <c r="L54" s="1083"/>
      <c r="M54" s="1083"/>
      <c r="N54" s="1083"/>
      <c r="O54" s="1083"/>
      <c r="P54" s="1083"/>
      <c r="Q54" s="1083"/>
      <c r="R54" s="1083"/>
      <c r="S54" s="1083"/>
      <c r="T54" s="1083"/>
      <c r="U54" s="1083"/>
    </row>
    <row r="55" spans="1:21" outlineLevel="2">
      <c r="A55" s="1088" t="s">
        <v>1070</v>
      </c>
      <c r="B55" s="1089"/>
      <c r="C55" s="1083"/>
      <c r="D55" s="1083"/>
      <c r="E55" s="1083"/>
      <c r="F55" s="1083"/>
      <c r="G55" s="1083"/>
      <c r="H55" s="1083"/>
      <c r="I55" s="1083"/>
      <c r="J55" s="1083"/>
      <c r="K55" s="1083"/>
      <c r="L55" s="1083"/>
      <c r="M55" s="1083"/>
      <c r="N55" s="1083"/>
      <c r="O55" s="1083"/>
      <c r="P55" s="1083"/>
      <c r="Q55" s="1083"/>
      <c r="R55" s="1083"/>
      <c r="S55" s="1083"/>
      <c r="T55" s="1083"/>
      <c r="U55" s="1083"/>
    </row>
    <row r="56" spans="1:21" ht="15.75" outlineLevel="1">
      <c r="A56" s="1095" t="s">
        <v>1071</v>
      </c>
      <c r="B56" s="1096"/>
      <c r="C56" s="1087" t="s">
        <v>341</v>
      </c>
      <c r="D56" s="1083"/>
      <c r="E56" s="1083"/>
      <c r="F56" s="1083"/>
      <c r="G56" s="1083"/>
      <c r="H56" s="1083"/>
      <c r="I56" s="1083"/>
      <c r="J56" s="1083"/>
      <c r="K56" s="1083"/>
      <c r="L56" s="1083"/>
      <c r="M56" s="1083"/>
      <c r="N56" s="1083"/>
      <c r="O56" s="1083"/>
      <c r="P56" s="1083"/>
      <c r="Q56" s="1083"/>
      <c r="R56" s="1083"/>
      <c r="S56" s="1083"/>
      <c r="T56" s="1083"/>
      <c r="U56" s="1083"/>
    </row>
    <row r="57" spans="1:21" outlineLevel="2">
      <c r="A57" s="1088" t="s">
        <v>1072</v>
      </c>
      <c r="B57" s="1090"/>
      <c r="D57" s="1083"/>
      <c r="E57" s="1083"/>
      <c r="F57" s="1083"/>
      <c r="G57" s="1083"/>
      <c r="H57" s="1083"/>
      <c r="I57" s="1083"/>
      <c r="J57" s="1083"/>
      <c r="K57" s="1083"/>
      <c r="L57" s="1083"/>
      <c r="M57" s="1083"/>
      <c r="N57" s="1083"/>
      <c r="O57" s="1083"/>
      <c r="P57" s="1083"/>
      <c r="Q57" s="1083"/>
      <c r="R57" s="1083"/>
      <c r="S57" s="1083"/>
      <c r="T57" s="1083"/>
      <c r="U57" s="1083"/>
    </row>
    <row r="58" spans="1:21" outlineLevel="2">
      <c r="A58" s="1088" t="s">
        <v>1073</v>
      </c>
      <c r="B58" s="1090"/>
      <c r="D58" s="1083"/>
      <c r="E58" s="1083"/>
      <c r="F58" s="1083"/>
      <c r="G58" s="1083"/>
      <c r="H58" s="1083"/>
      <c r="I58" s="1083"/>
      <c r="J58" s="1083"/>
      <c r="K58" s="1083"/>
      <c r="L58" s="1083"/>
      <c r="M58" s="1083"/>
      <c r="N58" s="1083"/>
      <c r="O58" s="1083"/>
      <c r="P58" s="1083"/>
      <c r="Q58" s="1083"/>
      <c r="R58" s="1083"/>
      <c r="S58" s="1083"/>
      <c r="T58" s="1083"/>
      <c r="U58" s="1083"/>
    </row>
    <row r="59" spans="1:21" ht="15.75" outlineLevel="1">
      <c r="A59" s="1095" t="s">
        <v>1074</v>
      </c>
      <c r="B59" s="1096"/>
      <c r="C59" s="1087" t="s">
        <v>341</v>
      </c>
      <c r="E59" s="1083"/>
      <c r="F59" s="1083"/>
      <c r="G59" s="1083"/>
      <c r="H59" s="1083"/>
      <c r="I59" s="1083"/>
      <c r="J59" s="1083"/>
      <c r="K59" s="1083"/>
      <c r="L59" s="1083"/>
      <c r="M59" s="1083"/>
      <c r="N59" s="1083"/>
      <c r="O59" s="1083"/>
      <c r="P59" s="1083"/>
      <c r="Q59" s="1083"/>
      <c r="R59" s="1083"/>
      <c r="S59" s="1083"/>
      <c r="T59" s="1083"/>
      <c r="U59" s="1083"/>
    </row>
    <row r="60" spans="1:21" outlineLevel="2">
      <c r="A60" s="1088" t="s">
        <v>1075</v>
      </c>
      <c r="B60" s="1089"/>
      <c r="C60" s="1083"/>
      <c r="D60" s="1083"/>
      <c r="E60" s="1083"/>
      <c r="F60" s="1083"/>
      <c r="G60" s="1083"/>
      <c r="H60" s="1083"/>
      <c r="I60" s="1083"/>
      <c r="J60" s="1083"/>
      <c r="K60" s="1083"/>
      <c r="L60" s="1083"/>
      <c r="M60" s="1083"/>
      <c r="N60" s="1083"/>
      <c r="O60" s="1083"/>
      <c r="P60" s="1083"/>
      <c r="Q60" s="1083"/>
      <c r="R60" s="1083"/>
      <c r="S60" s="1083"/>
      <c r="T60" s="1083"/>
      <c r="U60" s="1083"/>
    </row>
    <row r="61" spans="1:21" ht="15.75" outlineLevel="1">
      <c r="A61" s="1095" t="s">
        <v>1076</v>
      </c>
      <c r="B61" s="1096"/>
      <c r="C61" s="1087" t="s">
        <v>341</v>
      </c>
      <c r="G61" s="1083"/>
      <c r="H61" s="1083"/>
      <c r="I61" s="1083"/>
      <c r="J61" s="1083"/>
      <c r="K61" s="1083"/>
      <c r="L61" s="1083"/>
      <c r="M61" s="1083"/>
      <c r="N61" s="1083"/>
      <c r="O61" s="1083"/>
      <c r="P61" s="1083"/>
      <c r="Q61" s="1083"/>
      <c r="R61" s="1083"/>
      <c r="S61" s="1083"/>
      <c r="T61" s="1083"/>
      <c r="U61" s="1083"/>
    </row>
    <row r="62" spans="1:21" ht="30" outlineLevel="2">
      <c r="A62" s="1091" t="s">
        <v>1077</v>
      </c>
      <c r="B62" s="1089"/>
      <c r="C62" s="1083"/>
      <c r="D62" s="1083"/>
      <c r="E62" s="1083"/>
      <c r="F62" s="1083"/>
      <c r="G62" s="1083"/>
      <c r="H62" s="1083"/>
      <c r="I62" s="1083"/>
      <c r="J62" s="1083"/>
      <c r="K62" s="1083"/>
      <c r="L62" s="1083"/>
      <c r="M62" s="1083"/>
      <c r="N62" s="1083"/>
      <c r="O62" s="1083"/>
      <c r="P62" s="1083"/>
      <c r="Q62" s="1083"/>
      <c r="R62" s="1083"/>
      <c r="S62" s="1083"/>
      <c r="T62" s="1083"/>
      <c r="U62" s="1083"/>
    </row>
    <row r="63" spans="1:21" ht="15.75" outlineLevel="1">
      <c r="A63" s="1095" t="s">
        <v>1078</v>
      </c>
      <c r="B63" s="1096"/>
      <c r="C63" s="1087" t="s">
        <v>341</v>
      </c>
      <c r="F63" s="1083"/>
      <c r="G63" s="1083"/>
      <c r="H63" s="1083"/>
      <c r="I63" s="1083"/>
      <c r="J63" s="1083"/>
      <c r="K63" s="1083"/>
      <c r="L63" s="1083"/>
      <c r="M63" s="1083"/>
      <c r="N63" s="1083"/>
      <c r="O63" s="1083"/>
      <c r="P63" s="1083"/>
      <c r="Q63" s="1083"/>
      <c r="R63" s="1083"/>
      <c r="S63" s="1083"/>
      <c r="T63" s="1083"/>
      <c r="U63" s="1083"/>
    </row>
    <row r="64" spans="1:21" ht="30" outlineLevel="2">
      <c r="A64" s="1088" t="s">
        <v>1079</v>
      </c>
      <c r="B64" s="1089"/>
      <c r="C64" s="1083"/>
      <c r="D64" s="1083"/>
      <c r="E64" s="1083"/>
      <c r="F64" s="1083"/>
      <c r="G64" s="1083"/>
      <c r="H64" s="1083"/>
      <c r="I64" s="1083"/>
      <c r="J64" s="1083"/>
      <c r="K64" s="1083"/>
      <c r="L64" s="1083"/>
      <c r="M64" s="1083"/>
      <c r="N64" s="1083"/>
      <c r="O64" s="1083"/>
      <c r="P64" s="1083"/>
      <c r="Q64" s="1083"/>
      <c r="R64" s="1083"/>
      <c r="S64" s="1083"/>
      <c r="T64" s="1083"/>
      <c r="U64" s="1083"/>
    </row>
    <row r="65" spans="1:21" ht="15.75">
      <c r="A65" s="1084" t="s">
        <v>938</v>
      </c>
      <c r="B65" s="1085"/>
      <c r="C65" s="1083"/>
      <c r="D65" s="1083"/>
      <c r="E65" s="1083"/>
      <c r="F65" s="1083"/>
      <c r="G65" s="1083"/>
      <c r="H65" s="1083"/>
      <c r="I65" s="1083"/>
      <c r="J65" s="1083"/>
      <c r="K65" s="1083"/>
      <c r="L65" s="1083"/>
      <c r="M65" s="1083"/>
      <c r="N65" s="1083"/>
      <c r="O65" s="1083"/>
      <c r="P65" s="1083"/>
      <c r="Q65" s="1083"/>
      <c r="R65" s="1083"/>
      <c r="S65" s="1083"/>
      <c r="T65" s="1083"/>
      <c r="U65" s="1083"/>
    </row>
    <row r="66" spans="1:21" ht="15.75" outlineLevel="1">
      <c r="A66" s="1095" t="s">
        <v>1080</v>
      </c>
      <c r="B66" s="1096"/>
      <c r="C66" s="1086" t="s">
        <v>341</v>
      </c>
      <c r="D66" s="1083"/>
      <c r="E66" s="1083"/>
      <c r="F66" s="1083"/>
      <c r="G66" s="1083"/>
      <c r="H66" s="1083"/>
      <c r="I66" s="1083"/>
      <c r="J66" s="1083"/>
      <c r="K66" s="1083"/>
      <c r="L66" s="1083"/>
      <c r="M66" s="1083"/>
      <c r="N66" s="1083"/>
      <c r="O66" s="1083"/>
      <c r="P66" s="1083"/>
      <c r="Q66" s="1083"/>
      <c r="R66" s="1083"/>
      <c r="S66" s="1083"/>
      <c r="T66" s="1083"/>
      <c r="U66" s="1083"/>
    </row>
    <row r="67" spans="1:21" outlineLevel="2">
      <c r="A67" s="1088" t="s">
        <v>1081</v>
      </c>
      <c r="B67" s="1089"/>
      <c r="C67" s="1083"/>
      <c r="D67" s="1083"/>
      <c r="E67" s="1083"/>
      <c r="F67" s="1083"/>
      <c r="G67" s="1083"/>
      <c r="H67" s="1083"/>
      <c r="I67" s="1083"/>
      <c r="J67" s="1083"/>
      <c r="K67" s="1083"/>
      <c r="L67" s="1083"/>
      <c r="M67" s="1083"/>
      <c r="N67" s="1083"/>
      <c r="O67" s="1083"/>
      <c r="P67" s="1083"/>
      <c r="Q67" s="1083"/>
      <c r="R67" s="1083"/>
      <c r="S67" s="1083"/>
      <c r="T67" s="1083"/>
      <c r="U67" s="1083"/>
    </row>
    <row r="68" spans="1:21" outlineLevel="2">
      <c r="A68" s="1088" t="s">
        <v>1082</v>
      </c>
      <c r="B68" s="1089"/>
      <c r="C68" s="1083"/>
      <c r="D68" s="1083"/>
      <c r="E68" s="1083"/>
      <c r="F68" s="1083"/>
      <c r="G68" s="1083"/>
      <c r="H68" s="1083"/>
      <c r="I68" s="1083"/>
      <c r="J68" s="1083"/>
      <c r="K68" s="1083"/>
      <c r="L68" s="1083"/>
      <c r="M68" s="1083"/>
      <c r="N68" s="1083"/>
      <c r="O68" s="1083"/>
      <c r="P68" s="1083"/>
      <c r="Q68" s="1083"/>
      <c r="R68" s="1083"/>
      <c r="S68" s="1083"/>
      <c r="T68" s="1083"/>
      <c r="U68" s="1083"/>
    </row>
    <row r="69" spans="1:21" ht="15.75" outlineLevel="1">
      <c r="A69" s="1095" t="s">
        <v>1083</v>
      </c>
      <c r="B69" s="1096"/>
      <c r="C69" s="1086" t="s">
        <v>341</v>
      </c>
      <c r="D69" s="1083"/>
      <c r="E69" s="1083"/>
      <c r="F69" s="1083"/>
      <c r="G69" s="1083"/>
      <c r="H69" s="1083"/>
      <c r="I69" s="1083"/>
      <c r="J69" s="1083"/>
      <c r="K69" s="1083"/>
      <c r="L69" s="1083"/>
      <c r="M69" s="1083"/>
      <c r="N69" s="1083"/>
      <c r="O69" s="1083"/>
      <c r="P69" s="1083"/>
      <c r="Q69" s="1083"/>
      <c r="R69" s="1083"/>
      <c r="S69" s="1083"/>
      <c r="T69" s="1083"/>
      <c r="U69" s="1083"/>
    </row>
    <row r="70" spans="1:21" outlineLevel="2">
      <c r="A70" s="1088" t="s">
        <v>1084</v>
      </c>
      <c r="B70" s="1089"/>
      <c r="C70" s="1083"/>
      <c r="D70" s="1083"/>
      <c r="E70" s="1083"/>
      <c r="F70" s="1083"/>
      <c r="G70" s="1083"/>
      <c r="H70" s="1083"/>
      <c r="I70" s="1083"/>
      <c r="J70" s="1083"/>
      <c r="K70" s="1083"/>
      <c r="L70" s="1083"/>
      <c r="M70" s="1083"/>
      <c r="N70" s="1083"/>
      <c r="O70" s="1083"/>
      <c r="P70" s="1083"/>
      <c r="Q70" s="1083"/>
      <c r="R70" s="1083"/>
      <c r="S70" s="1083"/>
      <c r="T70" s="1083"/>
      <c r="U70" s="1083"/>
    </row>
    <row r="71" spans="1:21" ht="15.75" outlineLevel="1">
      <c r="A71" s="1095" t="s">
        <v>1085</v>
      </c>
      <c r="B71" s="1096"/>
      <c r="C71" s="1086" t="s">
        <v>341</v>
      </c>
      <c r="D71" s="1083"/>
      <c r="E71" s="1083"/>
      <c r="F71" s="1083"/>
      <c r="G71" s="1083"/>
      <c r="H71" s="1083"/>
      <c r="I71" s="1083"/>
      <c r="J71" s="1083"/>
      <c r="K71" s="1083"/>
      <c r="L71" s="1083"/>
      <c r="M71" s="1083"/>
      <c r="N71" s="1083"/>
      <c r="O71" s="1083"/>
      <c r="P71" s="1083"/>
      <c r="Q71" s="1083"/>
      <c r="R71" s="1083"/>
      <c r="S71" s="1083"/>
      <c r="T71" s="1083"/>
      <c r="U71" s="1083"/>
    </row>
    <row r="72" spans="1:21" outlineLevel="2">
      <c r="A72" s="1088" t="s">
        <v>1086</v>
      </c>
      <c r="B72" s="1089"/>
      <c r="C72" s="1083"/>
      <c r="D72" s="1083"/>
      <c r="E72" s="1083"/>
      <c r="F72" s="1083"/>
      <c r="G72" s="1083"/>
      <c r="H72" s="1083"/>
      <c r="I72" s="1083"/>
      <c r="J72" s="1083"/>
      <c r="K72" s="1083"/>
      <c r="L72" s="1083"/>
      <c r="M72" s="1083"/>
      <c r="N72" s="1083"/>
      <c r="O72" s="1083"/>
      <c r="P72" s="1083"/>
      <c r="Q72" s="1083"/>
      <c r="R72" s="1083"/>
      <c r="S72" s="1083"/>
      <c r="T72" s="1083"/>
      <c r="U72" s="1083"/>
    </row>
    <row r="73" spans="1:21" outlineLevel="2">
      <c r="A73" s="1088" t="s">
        <v>1087</v>
      </c>
      <c r="B73" s="1089"/>
      <c r="C73" s="1083"/>
      <c r="D73" s="1083"/>
      <c r="E73" s="1083"/>
      <c r="F73" s="1083"/>
      <c r="G73" s="1083"/>
      <c r="H73" s="1083"/>
      <c r="I73" s="1083"/>
      <c r="J73" s="1083"/>
      <c r="K73" s="1083"/>
      <c r="L73" s="1083"/>
      <c r="M73" s="1083"/>
      <c r="N73" s="1083"/>
      <c r="O73" s="1083"/>
      <c r="P73" s="1083"/>
      <c r="Q73" s="1083"/>
      <c r="R73" s="1083"/>
      <c r="S73" s="1083"/>
      <c r="T73" s="1083"/>
      <c r="U73" s="1083"/>
    </row>
    <row r="74" spans="1:21" ht="15.75" outlineLevel="1">
      <c r="A74" s="1095" t="s">
        <v>1088</v>
      </c>
      <c r="B74" s="1096"/>
      <c r="C74" s="1086" t="s">
        <v>341</v>
      </c>
      <c r="D74" s="1083"/>
      <c r="E74" s="1083"/>
      <c r="F74" s="1083"/>
      <c r="G74" s="1083"/>
      <c r="H74" s="1083"/>
      <c r="I74" s="1083"/>
      <c r="J74" s="1083"/>
      <c r="K74" s="1083"/>
      <c r="L74" s="1083"/>
      <c r="M74" s="1083"/>
      <c r="N74" s="1083"/>
      <c r="O74" s="1083"/>
      <c r="P74" s="1083"/>
      <c r="Q74" s="1083"/>
      <c r="R74" s="1083"/>
      <c r="S74" s="1083"/>
      <c r="T74" s="1083"/>
      <c r="U74" s="1083"/>
    </row>
    <row r="75" spans="1:21" outlineLevel="2">
      <c r="A75" s="1088" t="s">
        <v>1089</v>
      </c>
      <c r="B75" s="1089"/>
      <c r="C75" s="1083"/>
      <c r="D75" s="1083"/>
      <c r="E75" s="1083"/>
      <c r="F75" s="1083"/>
      <c r="G75" s="1083"/>
      <c r="H75" s="1083"/>
      <c r="I75" s="1083"/>
      <c r="J75" s="1083"/>
      <c r="K75" s="1083"/>
      <c r="L75" s="1083"/>
      <c r="M75" s="1083"/>
      <c r="N75" s="1083"/>
      <c r="O75" s="1083"/>
      <c r="P75" s="1083"/>
      <c r="Q75" s="1083"/>
      <c r="R75" s="1083"/>
      <c r="S75" s="1083"/>
      <c r="T75" s="1083"/>
      <c r="U75" s="1083"/>
    </row>
    <row r="76" spans="1:21" outlineLevel="2">
      <c r="A76" s="1088" t="s">
        <v>1090</v>
      </c>
      <c r="B76" s="1089"/>
      <c r="C76" s="1083"/>
      <c r="D76" s="1083"/>
      <c r="E76" s="1083"/>
      <c r="F76" s="1083"/>
      <c r="G76" s="1083"/>
      <c r="H76" s="1083"/>
      <c r="I76" s="1083"/>
      <c r="J76" s="1083"/>
      <c r="K76" s="1083"/>
      <c r="L76" s="1083"/>
      <c r="M76" s="1083"/>
      <c r="N76" s="1083"/>
      <c r="O76" s="1083"/>
      <c r="P76" s="1083"/>
      <c r="Q76" s="1083"/>
      <c r="R76" s="1083"/>
      <c r="S76" s="1083"/>
      <c r="T76" s="1083"/>
      <c r="U76" s="1083"/>
    </row>
    <row r="77" spans="1:21" outlineLevel="2">
      <c r="A77" s="1088" t="s">
        <v>1091</v>
      </c>
      <c r="B77" s="1089"/>
      <c r="C77" s="1083"/>
      <c r="D77" s="1083"/>
      <c r="E77" s="1083"/>
      <c r="F77" s="1083"/>
      <c r="G77" s="1083"/>
      <c r="H77" s="1083"/>
      <c r="I77" s="1083"/>
      <c r="J77" s="1083"/>
      <c r="K77" s="1083"/>
      <c r="L77" s="1083"/>
      <c r="M77" s="1083"/>
      <c r="N77" s="1083"/>
      <c r="O77" s="1083"/>
      <c r="P77" s="1083"/>
      <c r="Q77" s="1083"/>
      <c r="R77" s="1083"/>
      <c r="S77" s="1083"/>
      <c r="T77" s="1083"/>
      <c r="U77" s="1083"/>
    </row>
    <row r="78" spans="1:21" ht="15.75" outlineLevel="1">
      <c r="A78" s="1095" t="s">
        <v>1092</v>
      </c>
      <c r="B78" s="1096"/>
      <c r="C78" s="1086" t="s">
        <v>341</v>
      </c>
      <c r="D78" s="1083"/>
      <c r="E78" s="1083"/>
      <c r="F78" s="1083"/>
      <c r="G78" s="1083"/>
      <c r="H78" s="1083"/>
      <c r="I78" s="1083"/>
      <c r="J78" s="1083"/>
      <c r="K78" s="1083"/>
      <c r="L78" s="1083"/>
      <c r="M78" s="1083"/>
      <c r="N78" s="1083"/>
      <c r="O78" s="1083"/>
      <c r="P78" s="1083"/>
      <c r="Q78" s="1083"/>
      <c r="R78" s="1083"/>
      <c r="S78" s="1083"/>
      <c r="T78" s="1083"/>
      <c r="U78" s="1083"/>
    </row>
    <row r="79" spans="1:21" outlineLevel="2">
      <c r="A79" s="1088" t="s">
        <v>1093</v>
      </c>
      <c r="B79" s="1089"/>
      <c r="C79" s="1083"/>
      <c r="D79" s="1083"/>
      <c r="E79" s="1083"/>
      <c r="F79" s="1083"/>
      <c r="G79" s="1083"/>
      <c r="H79" s="1083"/>
      <c r="I79" s="1083"/>
      <c r="J79" s="1083"/>
      <c r="K79" s="1083"/>
      <c r="L79" s="1083"/>
      <c r="M79" s="1083"/>
      <c r="N79" s="1083"/>
      <c r="O79" s="1083"/>
      <c r="P79" s="1083"/>
      <c r="Q79" s="1083"/>
      <c r="R79" s="1083"/>
      <c r="S79" s="1083"/>
      <c r="T79" s="1083"/>
      <c r="U79" s="1083"/>
    </row>
    <row r="80" spans="1:21" ht="31.5" outlineLevel="1">
      <c r="A80" s="1095" t="s">
        <v>1094</v>
      </c>
      <c r="B80" s="1096"/>
      <c r="C80" s="1086" t="s">
        <v>341</v>
      </c>
      <c r="D80" s="1083"/>
      <c r="E80" s="1083"/>
      <c r="F80" s="1083"/>
      <c r="G80" s="1083"/>
      <c r="H80" s="1083"/>
      <c r="I80" s="1083"/>
      <c r="J80" s="1083"/>
      <c r="K80" s="1083"/>
      <c r="L80" s="1083"/>
      <c r="M80" s="1083"/>
      <c r="N80" s="1083"/>
      <c r="O80" s="1083"/>
      <c r="P80" s="1083"/>
      <c r="Q80" s="1083"/>
      <c r="R80" s="1083"/>
      <c r="S80" s="1083"/>
      <c r="T80" s="1083"/>
      <c r="U80" s="1083"/>
    </row>
    <row r="81" spans="1:21" outlineLevel="2">
      <c r="A81" s="1088" t="s">
        <v>1095</v>
      </c>
      <c r="B81" s="1089"/>
      <c r="C81" s="1083"/>
      <c r="D81" s="1083"/>
      <c r="E81" s="1083"/>
      <c r="F81" s="1083"/>
      <c r="G81" s="1083"/>
      <c r="H81" s="1083"/>
      <c r="I81" s="1083"/>
      <c r="J81" s="1083"/>
      <c r="K81" s="1083"/>
      <c r="L81" s="1083"/>
      <c r="M81" s="1083"/>
      <c r="N81" s="1083"/>
      <c r="O81" s="1083"/>
      <c r="P81" s="1083"/>
      <c r="Q81" s="1083"/>
      <c r="R81" s="1083"/>
      <c r="S81" s="1083"/>
      <c r="T81" s="1083"/>
      <c r="U81" s="1083"/>
    </row>
    <row r="82" spans="1:21" ht="15.75" outlineLevel="1">
      <c r="A82" s="1095" t="s">
        <v>1096</v>
      </c>
      <c r="B82" s="1096"/>
      <c r="C82" s="1086" t="s">
        <v>341</v>
      </c>
      <c r="D82" s="1083"/>
      <c r="E82" s="1083"/>
      <c r="F82" s="1083"/>
      <c r="G82" s="1083"/>
      <c r="H82" s="1083"/>
      <c r="I82" s="1083"/>
      <c r="J82" s="1083"/>
      <c r="K82" s="1083"/>
      <c r="L82" s="1083"/>
      <c r="M82" s="1083"/>
      <c r="N82" s="1083"/>
      <c r="O82" s="1083"/>
      <c r="P82" s="1083"/>
      <c r="Q82" s="1083"/>
      <c r="R82" s="1083"/>
      <c r="S82" s="1083"/>
      <c r="T82" s="1083"/>
      <c r="U82" s="1083"/>
    </row>
    <row r="83" spans="1:21" outlineLevel="2">
      <c r="A83" s="1088" t="s">
        <v>1097</v>
      </c>
      <c r="B83" s="1089"/>
      <c r="C83" s="1083"/>
      <c r="D83" s="1083"/>
      <c r="E83" s="1083"/>
      <c r="F83" s="1083"/>
      <c r="G83" s="1083"/>
      <c r="H83" s="1083"/>
      <c r="I83" s="1083"/>
      <c r="J83" s="1083"/>
      <c r="K83" s="1083"/>
      <c r="L83" s="1083"/>
      <c r="M83" s="1083"/>
      <c r="N83" s="1083"/>
      <c r="O83" s="1083"/>
      <c r="P83" s="1083"/>
      <c r="Q83" s="1083"/>
      <c r="R83" s="1083"/>
      <c r="S83" s="1083"/>
      <c r="T83" s="1083"/>
      <c r="U83" s="1083"/>
    </row>
    <row r="84" spans="1:21" outlineLevel="2">
      <c r="A84" s="1088" t="s">
        <v>1098</v>
      </c>
      <c r="B84" s="1089"/>
      <c r="C84" s="1083"/>
      <c r="D84" s="1083"/>
      <c r="E84" s="1083"/>
      <c r="F84" s="1083"/>
      <c r="G84" s="1083"/>
      <c r="H84" s="1083"/>
      <c r="I84" s="1083"/>
      <c r="J84" s="1083"/>
      <c r="K84" s="1083"/>
      <c r="L84" s="1083"/>
      <c r="M84" s="1083"/>
      <c r="N84" s="1083"/>
      <c r="O84" s="1083"/>
      <c r="P84" s="1083"/>
      <c r="Q84" s="1083"/>
      <c r="R84" s="1083"/>
      <c r="S84" s="1083"/>
      <c r="T84" s="1083"/>
      <c r="U84" s="1083"/>
    </row>
    <row r="85" spans="1:21" ht="15.75" outlineLevel="1">
      <c r="A85" s="1095" t="s">
        <v>1099</v>
      </c>
      <c r="B85" s="1096"/>
      <c r="C85" s="1086" t="s">
        <v>341</v>
      </c>
      <c r="D85" s="1083"/>
      <c r="E85" s="1083"/>
      <c r="F85" s="1083"/>
      <c r="G85" s="1083"/>
      <c r="H85" s="1083"/>
      <c r="I85" s="1083"/>
      <c r="J85" s="1083"/>
      <c r="K85" s="1083"/>
      <c r="L85" s="1083"/>
      <c r="M85" s="1083"/>
      <c r="N85" s="1083"/>
      <c r="O85" s="1083"/>
      <c r="P85" s="1083"/>
      <c r="Q85" s="1083"/>
      <c r="R85" s="1083"/>
      <c r="S85" s="1083"/>
      <c r="T85" s="1083"/>
      <c r="U85" s="1083"/>
    </row>
    <row r="86" spans="1:21" outlineLevel="2">
      <c r="A86" s="1088" t="s">
        <v>1099</v>
      </c>
      <c r="B86" s="1089"/>
      <c r="C86" s="1083"/>
      <c r="D86" s="1083"/>
      <c r="E86" s="1083"/>
      <c r="F86" s="1083"/>
      <c r="G86" s="1083"/>
      <c r="H86" s="1083"/>
      <c r="I86" s="1083"/>
      <c r="J86" s="1083"/>
      <c r="K86" s="1083"/>
      <c r="L86" s="1083"/>
      <c r="M86" s="1083"/>
      <c r="N86" s="1083"/>
      <c r="O86" s="1083"/>
      <c r="P86" s="1083"/>
      <c r="Q86" s="1083"/>
      <c r="R86" s="1083"/>
      <c r="S86" s="1083"/>
      <c r="T86" s="1083"/>
      <c r="U86" s="1083"/>
    </row>
    <row r="87" spans="1:21" ht="15.75" outlineLevel="1">
      <c r="A87" s="1095" t="s">
        <v>1100</v>
      </c>
      <c r="B87" s="1096"/>
      <c r="C87" s="1086" t="s">
        <v>341</v>
      </c>
      <c r="D87" s="1083"/>
      <c r="E87" s="1083"/>
      <c r="F87" s="1083"/>
      <c r="G87" s="1083"/>
      <c r="H87" s="1083"/>
      <c r="I87" s="1083"/>
      <c r="J87" s="1083"/>
      <c r="K87" s="1083"/>
      <c r="L87" s="1083"/>
      <c r="M87" s="1083"/>
      <c r="N87" s="1083"/>
      <c r="O87" s="1083"/>
      <c r="P87" s="1083"/>
      <c r="Q87" s="1083"/>
      <c r="R87" s="1083"/>
      <c r="S87" s="1083"/>
      <c r="T87" s="1083"/>
      <c r="U87" s="1083"/>
    </row>
    <row r="88" spans="1:21" outlineLevel="2">
      <c r="A88" s="1088" t="s">
        <v>1101</v>
      </c>
      <c r="B88" s="1089"/>
      <c r="C88" s="1083"/>
      <c r="D88" s="1083"/>
      <c r="E88" s="1083"/>
      <c r="F88" s="1083"/>
      <c r="G88" s="1083"/>
      <c r="H88" s="1083"/>
      <c r="I88" s="1083"/>
      <c r="J88" s="1083"/>
      <c r="K88" s="1083"/>
      <c r="L88" s="1083"/>
      <c r="M88" s="1083"/>
      <c r="N88" s="1083"/>
      <c r="O88" s="1083"/>
      <c r="P88" s="1083"/>
      <c r="Q88" s="1083"/>
      <c r="R88" s="1083"/>
      <c r="S88" s="1083"/>
      <c r="T88" s="1083"/>
      <c r="U88" s="1083"/>
    </row>
    <row r="89" spans="1:21" ht="15.75" outlineLevel="1">
      <c r="A89" s="1095" t="s">
        <v>1102</v>
      </c>
      <c r="B89" s="1096"/>
      <c r="C89" s="1086" t="s">
        <v>341</v>
      </c>
      <c r="D89" s="1083"/>
      <c r="E89" s="1083"/>
      <c r="F89" s="1083"/>
      <c r="G89" s="1083"/>
      <c r="H89" s="1083"/>
      <c r="I89" s="1083"/>
      <c r="J89" s="1083"/>
      <c r="K89" s="1083"/>
      <c r="L89" s="1083"/>
      <c r="M89" s="1083"/>
      <c r="N89" s="1083"/>
      <c r="O89" s="1083"/>
      <c r="P89" s="1083"/>
      <c r="Q89" s="1083"/>
      <c r="R89" s="1083"/>
      <c r="S89" s="1083"/>
      <c r="T89" s="1083"/>
      <c r="U89" s="1083"/>
    </row>
    <row r="90" spans="1:21" outlineLevel="2">
      <c r="A90" s="1088" t="s">
        <v>1103</v>
      </c>
      <c r="B90" s="1089"/>
      <c r="C90" s="1083"/>
      <c r="D90" s="1083"/>
      <c r="E90" s="1083"/>
      <c r="F90" s="1083"/>
      <c r="G90" s="1083"/>
      <c r="H90" s="1083"/>
      <c r="I90" s="1083"/>
      <c r="J90" s="1083"/>
      <c r="K90" s="1083"/>
      <c r="L90" s="1083"/>
      <c r="M90" s="1083"/>
      <c r="N90" s="1083"/>
      <c r="O90" s="1083"/>
      <c r="P90" s="1083"/>
      <c r="Q90" s="1083"/>
      <c r="R90" s="1083"/>
      <c r="S90" s="1083"/>
      <c r="T90" s="1083"/>
      <c r="U90" s="1083"/>
    </row>
    <row r="91" spans="1:21" outlineLevel="2">
      <c r="A91" s="1088" t="s">
        <v>1104</v>
      </c>
      <c r="B91" s="1089"/>
      <c r="C91" s="1083"/>
      <c r="D91" s="1083"/>
      <c r="E91" s="1083"/>
      <c r="F91" s="1083"/>
      <c r="G91" s="1083"/>
      <c r="H91" s="1083"/>
      <c r="I91" s="1083"/>
      <c r="J91" s="1083"/>
      <c r="K91" s="1083"/>
      <c r="L91" s="1083"/>
      <c r="M91" s="1083"/>
      <c r="N91" s="1083"/>
      <c r="O91" s="1083"/>
      <c r="P91" s="1083"/>
      <c r="Q91" s="1083"/>
      <c r="R91" s="1083"/>
      <c r="S91" s="1083"/>
      <c r="T91" s="1083"/>
      <c r="U91" s="1083"/>
    </row>
    <row r="92" spans="1:21" ht="15.75">
      <c r="A92" s="1084" t="s">
        <v>1105</v>
      </c>
      <c r="B92" s="1085"/>
      <c r="C92" s="1083"/>
      <c r="D92" s="1083"/>
      <c r="E92" s="1083"/>
      <c r="F92" s="1083"/>
      <c r="G92" s="1083"/>
      <c r="H92" s="1083"/>
      <c r="I92" s="1083"/>
      <c r="J92" s="1083"/>
      <c r="K92" s="1083"/>
      <c r="L92" s="1083"/>
      <c r="M92" s="1083"/>
      <c r="N92" s="1083"/>
      <c r="O92" s="1083"/>
      <c r="P92" s="1083"/>
      <c r="Q92" s="1083"/>
      <c r="R92" s="1083"/>
      <c r="S92" s="1083"/>
      <c r="T92" s="1083"/>
      <c r="U92" s="1083"/>
    </row>
    <row r="93" spans="1:21" ht="15.75" outlineLevel="1">
      <c r="A93" s="1095" t="s">
        <v>1106</v>
      </c>
      <c r="B93" s="1096"/>
      <c r="C93" s="1086" t="s">
        <v>341</v>
      </c>
      <c r="D93" s="1083"/>
      <c r="E93" s="1083"/>
      <c r="F93" s="1083"/>
      <c r="G93" s="1083"/>
      <c r="H93" s="1083"/>
      <c r="I93" s="1083"/>
      <c r="J93" s="1083"/>
      <c r="K93" s="1083"/>
      <c r="L93" s="1083"/>
      <c r="M93" s="1083"/>
      <c r="N93" s="1083"/>
      <c r="O93" s="1083"/>
      <c r="P93" s="1083"/>
      <c r="Q93" s="1083"/>
      <c r="R93" s="1083"/>
      <c r="S93" s="1083"/>
      <c r="T93" s="1083"/>
      <c r="U93" s="1083"/>
    </row>
    <row r="94" spans="1:21" outlineLevel="2">
      <c r="A94" s="1088" t="s">
        <v>1107</v>
      </c>
      <c r="B94" s="1089"/>
      <c r="C94" s="1083"/>
      <c r="D94" s="1083"/>
      <c r="E94" s="1083"/>
      <c r="F94" s="1083"/>
      <c r="G94" s="1083"/>
      <c r="H94" s="1083"/>
      <c r="I94" s="1083"/>
      <c r="J94" s="1083"/>
      <c r="K94" s="1083"/>
      <c r="L94" s="1083"/>
      <c r="M94" s="1083"/>
      <c r="N94" s="1083"/>
      <c r="O94" s="1083"/>
      <c r="P94" s="1083"/>
      <c r="Q94" s="1083"/>
      <c r="R94" s="1083"/>
      <c r="S94" s="1083"/>
      <c r="T94" s="1083"/>
      <c r="U94" s="1083"/>
    </row>
    <row r="95" spans="1:21" outlineLevel="2">
      <c r="A95" s="1088" t="s">
        <v>1108</v>
      </c>
      <c r="B95" s="1089"/>
      <c r="C95" s="1083"/>
      <c r="D95" s="1083"/>
      <c r="E95" s="1083"/>
      <c r="F95" s="1083"/>
      <c r="G95" s="1083"/>
      <c r="H95" s="1083"/>
      <c r="I95" s="1083"/>
      <c r="J95" s="1083"/>
      <c r="K95" s="1083"/>
      <c r="L95" s="1083"/>
      <c r="M95" s="1083"/>
      <c r="N95" s="1083"/>
      <c r="O95" s="1083"/>
      <c r="P95" s="1083"/>
      <c r="Q95" s="1083"/>
      <c r="R95" s="1083"/>
      <c r="S95" s="1083"/>
      <c r="T95" s="1083"/>
      <c r="U95" s="1083"/>
    </row>
    <row r="96" spans="1:21" outlineLevel="2">
      <c r="A96" s="1088" t="s">
        <v>1109</v>
      </c>
      <c r="B96" s="1089"/>
      <c r="C96" s="1083"/>
      <c r="D96" s="1083"/>
      <c r="E96" s="1083"/>
      <c r="F96" s="1083"/>
      <c r="G96" s="1083"/>
      <c r="H96" s="1083"/>
      <c r="I96" s="1083"/>
      <c r="J96" s="1083"/>
      <c r="K96" s="1083"/>
      <c r="L96" s="1083"/>
      <c r="M96" s="1083"/>
      <c r="N96" s="1083"/>
      <c r="O96" s="1083"/>
      <c r="P96" s="1083"/>
      <c r="Q96" s="1083"/>
      <c r="R96" s="1083"/>
      <c r="S96" s="1083"/>
      <c r="T96" s="1083"/>
      <c r="U96" s="1083"/>
    </row>
    <row r="97" spans="1:21" ht="15.75" outlineLevel="1">
      <c r="A97" s="1095" t="s">
        <v>1110</v>
      </c>
      <c r="B97" s="1096"/>
      <c r="C97" s="1087" t="s">
        <v>341</v>
      </c>
      <c r="E97" s="1083"/>
      <c r="F97" s="1083"/>
      <c r="G97" s="1083"/>
      <c r="H97" s="1083"/>
      <c r="I97" s="1083"/>
      <c r="J97" s="1083"/>
      <c r="K97" s="1083"/>
      <c r="L97" s="1083"/>
      <c r="M97" s="1083"/>
      <c r="N97" s="1083"/>
      <c r="O97" s="1083"/>
      <c r="P97" s="1083"/>
      <c r="Q97" s="1083"/>
      <c r="R97" s="1083"/>
      <c r="S97" s="1083"/>
      <c r="T97" s="1083"/>
      <c r="U97" s="1083"/>
    </row>
    <row r="98" spans="1:21" outlineLevel="2">
      <c r="A98" s="1088" t="s">
        <v>1111</v>
      </c>
      <c r="B98" s="1089"/>
      <c r="C98" s="1083"/>
      <c r="D98" s="1083"/>
      <c r="E98" s="1083"/>
      <c r="F98" s="1083"/>
      <c r="G98" s="1083"/>
      <c r="H98" s="1083"/>
      <c r="I98" s="1083"/>
      <c r="J98" s="1083"/>
      <c r="K98" s="1083"/>
      <c r="L98" s="1083"/>
      <c r="M98" s="1083"/>
      <c r="N98" s="1083"/>
      <c r="O98" s="1083"/>
      <c r="P98" s="1083"/>
      <c r="Q98" s="1083"/>
      <c r="R98" s="1083"/>
      <c r="S98" s="1083"/>
      <c r="T98" s="1083"/>
      <c r="U98" s="1083"/>
    </row>
    <row r="99" spans="1:21" outlineLevel="2">
      <c r="A99" s="1088" t="s">
        <v>1112</v>
      </c>
      <c r="B99" s="1089"/>
      <c r="C99" s="1083"/>
      <c r="D99" s="1083"/>
      <c r="E99" s="1083"/>
      <c r="F99" s="1083"/>
      <c r="G99" s="1083"/>
      <c r="H99" s="1083"/>
      <c r="I99" s="1083"/>
      <c r="J99" s="1083"/>
      <c r="K99" s="1083"/>
      <c r="L99" s="1083"/>
      <c r="M99" s="1083"/>
      <c r="N99" s="1083"/>
      <c r="O99" s="1083"/>
      <c r="P99" s="1083"/>
      <c r="Q99" s="1083"/>
      <c r="R99" s="1083"/>
      <c r="S99" s="1083"/>
      <c r="T99" s="1083"/>
      <c r="U99" s="1083"/>
    </row>
    <row r="100" spans="1:21" ht="30" outlineLevel="2">
      <c r="A100" s="1088" t="s">
        <v>1113</v>
      </c>
      <c r="B100" s="1089"/>
      <c r="C100" s="1083"/>
      <c r="D100" s="1083"/>
      <c r="E100" s="1083"/>
      <c r="F100" s="1083"/>
      <c r="G100" s="1083"/>
      <c r="H100" s="1083"/>
      <c r="I100" s="1083"/>
      <c r="J100" s="1083"/>
      <c r="K100" s="1083"/>
      <c r="L100" s="1083"/>
      <c r="M100" s="1083"/>
      <c r="N100" s="1083"/>
      <c r="O100" s="1083"/>
      <c r="P100" s="1083"/>
      <c r="Q100" s="1083"/>
      <c r="R100" s="1083"/>
      <c r="S100" s="1083"/>
      <c r="T100" s="1083"/>
      <c r="U100" s="1083"/>
    </row>
    <row r="101" spans="1:21" outlineLevel="2">
      <c r="A101" s="1088" t="s">
        <v>1114</v>
      </c>
      <c r="B101" s="1089"/>
      <c r="C101" s="1083"/>
      <c r="D101" s="1083"/>
      <c r="E101" s="1083"/>
      <c r="F101" s="1083"/>
      <c r="G101" s="1083"/>
      <c r="H101" s="1083"/>
      <c r="I101" s="1083"/>
      <c r="J101" s="1083"/>
      <c r="K101" s="1083"/>
      <c r="L101" s="1083"/>
      <c r="M101" s="1083"/>
      <c r="N101" s="1083"/>
      <c r="O101" s="1083"/>
      <c r="P101" s="1083"/>
      <c r="Q101" s="1083"/>
      <c r="R101" s="1083"/>
      <c r="S101" s="1083"/>
      <c r="T101" s="1083"/>
      <c r="U101" s="1083"/>
    </row>
    <row r="102" spans="1:21" outlineLevel="2">
      <c r="A102" s="1088" t="s">
        <v>1115</v>
      </c>
      <c r="B102" s="1089"/>
      <c r="C102" s="1083"/>
      <c r="D102" s="1083"/>
      <c r="E102" s="1083"/>
      <c r="F102" s="1083"/>
      <c r="G102" s="1083"/>
      <c r="H102" s="1083"/>
      <c r="I102" s="1083"/>
      <c r="J102" s="1083"/>
      <c r="K102" s="1083"/>
      <c r="L102" s="1083"/>
      <c r="M102" s="1083"/>
      <c r="N102" s="1083"/>
      <c r="O102" s="1083"/>
      <c r="P102" s="1083"/>
      <c r="Q102" s="1083"/>
      <c r="R102" s="1083"/>
      <c r="S102" s="1083"/>
      <c r="T102" s="1083"/>
      <c r="U102" s="1083"/>
    </row>
    <row r="103" spans="1:21" ht="30" outlineLevel="2">
      <c r="A103" s="1088" t="s">
        <v>1116</v>
      </c>
      <c r="B103" s="1089"/>
      <c r="C103" s="1083"/>
      <c r="D103" s="1083"/>
      <c r="E103" s="1083"/>
      <c r="F103" s="1083"/>
      <c r="G103" s="1083"/>
      <c r="H103" s="1083"/>
      <c r="I103" s="1083"/>
      <c r="J103" s="1083"/>
      <c r="K103" s="1083"/>
      <c r="L103" s="1083"/>
      <c r="M103" s="1083"/>
      <c r="N103" s="1083"/>
      <c r="O103" s="1083"/>
      <c r="P103" s="1083"/>
      <c r="Q103" s="1083"/>
      <c r="R103" s="1083"/>
      <c r="S103" s="1083"/>
      <c r="T103" s="1083"/>
      <c r="U103" s="1083"/>
    </row>
    <row r="104" spans="1:21" ht="15.75" outlineLevel="1">
      <c r="A104" s="1095" t="s">
        <v>1117</v>
      </c>
      <c r="B104" s="1096"/>
      <c r="C104" s="1086" t="s">
        <v>341</v>
      </c>
      <c r="D104" s="1083"/>
      <c r="E104" s="1083"/>
      <c r="F104" s="1083"/>
      <c r="G104" s="1083"/>
      <c r="H104" s="1083"/>
      <c r="I104" s="1083"/>
      <c r="J104" s="1083"/>
      <c r="K104" s="1083"/>
      <c r="L104" s="1083"/>
      <c r="M104" s="1083"/>
      <c r="N104" s="1083"/>
      <c r="O104" s="1083"/>
      <c r="P104" s="1083"/>
      <c r="Q104" s="1083"/>
      <c r="R104" s="1083"/>
      <c r="S104" s="1083"/>
      <c r="T104" s="1083"/>
      <c r="U104" s="1083"/>
    </row>
    <row r="105" spans="1:21" outlineLevel="2">
      <c r="A105" s="1088" t="s">
        <v>1118</v>
      </c>
      <c r="B105" s="1089"/>
      <c r="C105" s="1083"/>
      <c r="D105" s="1083"/>
      <c r="E105" s="1083"/>
      <c r="F105" s="1083"/>
      <c r="G105" s="1083"/>
      <c r="H105" s="1083"/>
      <c r="I105" s="1083"/>
      <c r="J105" s="1083"/>
      <c r="K105" s="1083"/>
      <c r="L105" s="1083"/>
      <c r="M105" s="1083"/>
      <c r="N105" s="1083"/>
      <c r="O105" s="1083"/>
      <c r="P105" s="1083"/>
      <c r="Q105" s="1083"/>
      <c r="R105" s="1083"/>
      <c r="S105" s="1083"/>
      <c r="T105" s="1083"/>
      <c r="U105" s="1083"/>
    </row>
    <row r="106" spans="1:21" outlineLevel="2">
      <c r="A106" s="1088" t="s">
        <v>1119</v>
      </c>
      <c r="B106" s="1089"/>
      <c r="C106" s="1083"/>
      <c r="D106" s="1083"/>
      <c r="E106" s="1083"/>
      <c r="F106" s="1083"/>
      <c r="G106" s="1083"/>
      <c r="H106" s="1083"/>
      <c r="I106" s="1083"/>
      <c r="J106" s="1083"/>
      <c r="K106" s="1083"/>
      <c r="L106" s="1083"/>
      <c r="M106" s="1083"/>
      <c r="N106" s="1083"/>
      <c r="O106" s="1083"/>
      <c r="P106" s="1083"/>
      <c r="Q106" s="1083"/>
      <c r="R106" s="1083"/>
      <c r="S106" s="1083"/>
      <c r="T106" s="1083"/>
      <c r="U106" s="1083"/>
    </row>
    <row r="107" spans="1:21" ht="15.75" outlineLevel="1">
      <c r="A107" s="1095" t="s">
        <v>1120</v>
      </c>
      <c r="B107" s="1096"/>
      <c r="C107" s="1087" t="s">
        <v>341</v>
      </c>
      <c r="D107" s="1083"/>
      <c r="E107" s="1083"/>
      <c r="F107" s="1083"/>
      <c r="G107" s="1083"/>
      <c r="H107" s="1083"/>
      <c r="I107" s="1083"/>
      <c r="J107" s="1083"/>
      <c r="K107" s="1083"/>
      <c r="L107" s="1083"/>
      <c r="M107" s="1083"/>
      <c r="N107" s="1083"/>
      <c r="O107" s="1083"/>
      <c r="P107" s="1083"/>
      <c r="Q107" s="1083"/>
      <c r="R107" s="1083"/>
      <c r="S107" s="1083"/>
      <c r="T107" s="1083"/>
      <c r="U107" s="1083"/>
    </row>
    <row r="108" spans="1:21" outlineLevel="2">
      <c r="A108" s="1088" t="s">
        <v>1121</v>
      </c>
      <c r="B108" s="1089"/>
      <c r="C108" s="1083"/>
      <c r="D108" s="1083"/>
      <c r="E108" s="1083"/>
      <c r="F108" s="1083"/>
      <c r="G108" s="1083"/>
      <c r="H108" s="1083"/>
      <c r="I108" s="1083"/>
      <c r="J108" s="1083"/>
      <c r="K108" s="1083"/>
      <c r="L108" s="1083"/>
      <c r="M108" s="1083"/>
      <c r="N108" s="1083"/>
      <c r="O108" s="1083"/>
      <c r="P108" s="1083"/>
      <c r="Q108" s="1083"/>
      <c r="R108" s="1083"/>
      <c r="S108" s="1083"/>
      <c r="T108" s="1083"/>
      <c r="U108" s="1083"/>
    </row>
    <row r="109" spans="1:21" ht="30" outlineLevel="2">
      <c r="A109" s="1091" t="s">
        <v>1122</v>
      </c>
      <c r="B109" s="1089"/>
      <c r="C109" s="1083"/>
      <c r="D109" s="1083"/>
      <c r="E109" s="1083"/>
      <c r="F109" s="1083"/>
      <c r="G109" s="1083"/>
      <c r="H109" s="1083"/>
      <c r="I109" s="1083"/>
      <c r="J109" s="1083"/>
      <c r="K109" s="1083"/>
      <c r="L109" s="1083"/>
      <c r="M109" s="1083"/>
      <c r="N109" s="1083"/>
      <c r="O109" s="1083"/>
      <c r="P109" s="1083"/>
      <c r="Q109" s="1083"/>
      <c r="R109" s="1083"/>
      <c r="S109" s="1083"/>
      <c r="T109" s="1083"/>
      <c r="U109" s="1083"/>
    </row>
    <row r="110" spans="1:21" outlineLevel="2">
      <c r="A110" s="1088" t="s">
        <v>1123</v>
      </c>
      <c r="B110" s="1089"/>
      <c r="C110" s="1083"/>
      <c r="D110" s="1083"/>
      <c r="E110" s="1083"/>
      <c r="F110" s="1083"/>
      <c r="G110" s="1083"/>
      <c r="H110" s="1083"/>
      <c r="I110" s="1083"/>
      <c r="J110" s="1083"/>
      <c r="K110" s="1083"/>
      <c r="L110" s="1083"/>
      <c r="M110" s="1083"/>
      <c r="N110" s="1083"/>
      <c r="O110" s="1083"/>
      <c r="P110" s="1083"/>
      <c r="Q110" s="1083"/>
      <c r="R110" s="1083"/>
      <c r="S110" s="1083"/>
      <c r="T110" s="1083"/>
      <c r="U110" s="1083"/>
    </row>
    <row r="111" spans="1:21" outlineLevel="2">
      <c r="A111" s="1088" t="s">
        <v>1124</v>
      </c>
      <c r="B111" s="1089"/>
      <c r="C111" s="1083"/>
      <c r="D111" s="1083"/>
      <c r="E111" s="1083"/>
      <c r="F111" s="1083"/>
      <c r="G111" s="1083"/>
      <c r="H111" s="1083"/>
      <c r="I111" s="1083"/>
      <c r="J111" s="1083"/>
      <c r="K111" s="1083"/>
      <c r="L111" s="1083"/>
      <c r="M111" s="1083"/>
      <c r="N111" s="1083"/>
      <c r="O111" s="1083"/>
      <c r="P111" s="1083"/>
      <c r="Q111" s="1083"/>
      <c r="R111" s="1083"/>
      <c r="S111" s="1083"/>
      <c r="T111" s="1083"/>
      <c r="U111" s="1083"/>
    </row>
    <row r="112" spans="1:21" ht="30" outlineLevel="2">
      <c r="A112" s="1091" t="s">
        <v>1125</v>
      </c>
      <c r="B112" s="1089"/>
      <c r="C112" s="1083"/>
      <c r="D112" s="1083"/>
      <c r="E112" s="1083"/>
      <c r="F112" s="1083"/>
      <c r="G112" s="1083"/>
      <c r="H112" s="1083"/>
      <c r="I112" s="1083"/>
      <c r="J112" s="1083"/>
      <c r="K112" s="1083"/>
      <c r="L112" s="1083"/>
      <c r="M112" s="1083"/>
      <c r="N112" s="1083"/>
      <c r="O112" s="1083"/>
      <c r="P112" s="1083"/>
      <c r="Q112" s="1083"/>
      <c r="R112" s="1083"/>
      <c r="S112" s="1083"/>
      <c r="T112" s="1083"/>
      <c r="U112" s="1083"/>
    </row>
    <row r="113" spans="1:21" ht="15.75" outlineLevel="1">
      <c r="A113" s="1095" t="s">
        <v>1126</v>
      </c>
      <c r="B113" s="1096"/>
      <c r="C113" s="1086" t="s">
        <v>341</v>
      </c>
      <c r="D113" s="1083"/>
      <c r="E113" s="1083"/>
      <c r="F113" s="1083"/>
      <c r="G113" s="1083"/>
      <c r="H113" s="1083"/>
      <c r="I113" s="1083"/>
      <c r="J113" s="1083"/>
      <c r="K113" s="1083"/>
      <c r="L113" s="1083"/>
      <c r="M113" s="1083"/>
      <c r="N113" s="1083"/>
      <c r="O113" s="1083"/>
      <c r="P113" s="1083"/>
      <c r="Q113" s="1083"/>
      <c r="R113" s="1083"/>
      <c r="S113" s="1083"/>
      <c r="T113" s="1083"/>
      <c r="U113" s="1083"/>
    </row>
    <row r="114" spans="1:21" outlineLevel="2">
      <c r="A114" s="1088" t="s">
        <v>1127</v>
      </c>
      <c r="B114" s="1089"/>
      <c r="C114" s="1086"/>
      <c r="D114" s="1083"/>
      <c r="E114" s="1083"/>
      <c r="F114" s="1083"/>
      <c r="G114" s="1083"/>
      <c r="H114" s="1083"/>
      <c r="I114" s="1083"/>
      <c r="J114" s="1083"/>
      <c r="K114" s="1083"/>
      <c r="L114" s="1083"/>
      <c r="M114" s="1083"/>
      <c r="N114" s="1083"/>
      <c r="O114" s="1083"/>
      <c r="P114" s="1083"/>
      <c r="Q114" s="1083"/>
      <c r="R114" s="1083"/>
      <c r="S114" s="1083"/>
      <c r="T114" s="1083"/>
      <c r="U114" s="1083"/>
    </row>
    <row r="115" spans="1:21" outlineLevel="2">
      <c r="A115" s="1088" t="s">
        <v>1128</v>
      </c>
      <c r="B115" s="1089"/>
      <c r="C115" s="1083"/>
      <c r="D115" s="1083"/>
      <c r="E115" s="1083"/>
      <c r="F115" s="1083"/>
      <c r="G115" s="1083"/>
      <c r="H115" s="1083"/>
      <c r="I115" s="1083"/>
      <c r="J115" s="1083"/>
      <c r="K115" s="1083"/>
      <c r="L115" s="1083"/>
      <c r="M115" s="1083"/>
      <c r="N115" s="1083"/>
      <c r="O115" s="1083"/>
      <c r="P115" s="1083"/>
      <c r="Q115" s="1083"/>
      <c r="R115" s="1083"/>
      <c r="S115" s="1083"/>
      <c r="T115" s="1083"/>
      <c r="U115" s="1083"/>
    </row>
    <row r="116" spans="1:21" outlineLevel="2">
      <c r="A116" s="1088" t="s">
        <v>1129</v>
      </c>
      <c r="B116" s="1089"/>
      <c r="C116" s="1083"/>
      <c r="D116" s="1083"/>
      <c r="E116" s="1083"/>
      <c r="F116" s="1083"/>
      <c r="G116" s="1083"/>
      <c r="H116" s="1083"/>
      <c r="I116" s="1083"/>
      <c r="J116" s="1083"/>
      <c r="K116" s="1083"/>
      <c r="L116" s="1083"/>
      <c r="M116" s="1083"/>
      <c r="N116" s="1083"/>
      <c r="O116" s="1083"/>
      <c r="P116" s="1083"/>
      <c r="Q116" s="1083"/>
      <c r="R116" s="1083"/>
      <c r="S116" s="1083"/>
      <c r="T116" s="1083"/>
      <c r="U116" s="1083"/>
    </row>
    <row r="117" spans="1:21" ht="15.75" outlineLevel="1">
      <c r="A117" s="1095" t="s">
        <v>1130</v>
      </c>
      <c r="B117" s="1096"/>
      <c r="C117" s="1087" t="s">
        <v>341</v>
      </c>
      <c r="H117" s="1083"/>
      <c r="I117" s="1083"/>
      <c r="J117" s="1083"/>
      <c r="K117" s="1083"/>
      <c r="L117" s="1083"/>
      <c r="M117" s="1083"/>
      <c r="N117" s="1083"/>
      <c r="O117" s="1083"/>
      <c r="P117" s="1083"/>
      <c r="Q117" s="1083"/>
      <c r="R117" s="1083"/>
      <c r="S117" s="1083"/>
      <c r="T117" s="1083"/>
      <c r="U117" s="1083"/>
    </row>
    <row r="118" spans="1:21" outlineLevel="2">
      <c r="A118" s="1088" t="s">
        <v>1131</v>
      </c>
      <c r="B118" s="1089"/>
      <c r="C118" s="1083"/>
      <c r="D118" s="1083"/>
      <c r="E118" s="1083"/>
      <c r="F118" s="1083"/>
      <c r="G118" s="1083"/>
      <c r="H118" s="1083"/>
      <c r="I118" s="1083"/>
      <c r="J118" s="1083"/>
      <c r="K118" s="1083"/>
      <c r="L118" s="1083"/>
      <c r="M118" s="1083"/>
      <c r="N118" s="1083"/>
      <c r="O118" s="1083"/>
      <c r="P118" s="1083"/>
      <c r="Q118" s="1083"/>
      <c r="R118" s="1083"/>
      <c r="S118" s="1083"/>
      <c r="T118" s="1083"/>
      <c r="U118" s="1083"/>
    </row>
    <row r="119" spans="1:21" outlineLevel="2">
      <c r="A119" s="1088" t="s">
        <v>1132</v>
      </c>
      <c r="B119" s="1089"/>
      <c r="C119" s="1083"/>
      <c r="D119" s="1083"/>
      <c r="E119" s="1083"/>
      <c r="F119" s="1083"/>
      <c r="G119" s="1083"/>
      <c r="H119" s="1083"/>
      <c r="I119" s="1083"/>
      <c r="J119" s="1083"/>
      <c r="K119" s="1083"/>
      <c r="L119" s="1083"/>
      <c r="M119" s="1083"/>
      <c r="N119" s="1083"/>
      <c r="O119" s="1083"/>
      <c r="P119" s="1083"/>
      <c r="Q119" s="1083"/>
      <c r="R119" s="1083"/>
      <c r="S119" s="1083"/>
      <c r="T119" s="1083"/>
      <c r="U119" s="1083"/>
    </row>
    <row r="120" spans="1:21" outlineLevel="2">
      <c r="A120" s="1088" t="s">
        <v>1133</v>
      </c>
      <c r="B120" s="1089"/>
      <c r="C120" s="1083"/>
      <c r="D120" s="1083"/>
      <c r="E120" s="1083"/>
      <c r="F120" s="1083"/>
      <c r="G120" s="1083"/>
      <c r="H120" s="1083"/>
      <c r="I120" s="1083"/>
      <c r="J120" s="1083"/>
      <c r="K120" s="1083"/>
      <c r="L120" s="1083"/>
      <c r="M120" s="1083"/>
      <c r="N120" s="1083"/>
      <c r="O120" s="1083"/>
      <c r="P120" s="1083"/>
      <c r="Q120" s="1083"/>
      <c r="R120" s="1083"/>
      <c r="S120" s="1083"/>
      <c r="T120" s="1083"/>
      <c r="U120" s="1083"/>
    </row>
    <row r="121" spans="1:21" outlineLevel="2">
      <c r="A121" s="1088" t="s">
        <v>1134</v>
      </c>
      <c r="B121" s="1089"/>
      <c r="C121" s="1083"/>
      <c r="D121" s="1083"/>
      <c r="E121" s="1083"/>
      <c r="F121" s="1083"/>
      <c r="G121" s="1083"/>
      <c r="H121" s="1083"/>
      <c r="I121" s="1083"/>
      <c r="J121" s="1083"/>
      <c r="K121" s="1083"/>
      <c r="L121" s="1083"/>
      <c r="M121" s="1083"/>
      <c r="N121" s="1083"/>
      <c r="O121" s="1083"/>
      <c r="P121" s="1083"/>
      <c r="Q121" s="1083"/>
      <c r="R121" s="1083"/>
      <c r="S121" s="1083"/>
      <c r="T121" s="1083"/>
      <c r="U121" s="1083"/>
    </row>
    <row r="122" spans="1:21" outlineLevel="2">
      <c r="A122" s="1088" t="s">
        <v>1135</v>
      </c>
      <c r="B122" s="1089"/>
      <c r="C122" s="1083"/>
      <c r="D122" s="1083"/>
      <c r="E122" s="1083"/>
      <c r="F122" s="1083"/>
      <c r="G122" s="1083"/>
      <c r="H122" s="1083"/>
      <c r="I122" s="1083"/>
      <c r="J122" s="1083"/>
      <c r="K122" s="1083"/>
      <c r="L122" s="1083"/>
      <c r="M122" s="1083"/>
      <c r="N122" s="1083"/>
      <c r="O122" s="1083"/>
      <c r="P122" s="1083"/>
      <c r="Q122" s="1083"/>
      <c r="R122" s="1083"/>
      <c r="S122" s="1083"/>
      <c r="T122" s="1083"/>
      <c r="U122" s="1083"/>
    </row>
    <row r="123" spans="1:21" outlineLevel="2">
      <c r="A123" s="1088" t="s">
        <v>1136</v>
      </c>
      <c r="B123" s="1089"/>
      <c r="C123" s="1083"/>
      <c r="D123" s="1083"/>
      <c r="E123" s="1083"/>
      <c r="F123" s="1083"/>
      <c r="G123" s="1083"/>
      <c r="H123" s="1083"/>
      <c r="I123" s="1083"/>
      <c r="J123" s="1083"/>
      <c r="K123" s="1083"/>
      <c r="L123" s="1083"/>
      <c r="M123" s="1083"/>
      <c r="N123" s="1083"/>
      <c r="O123" s="1083"/>
      <c r="P123" s="1083"/>
      <c r="Q123" s="1083"/>
      <c r="R123" s="1083"/>
      <c r="S123" s="1083"/>
      <c r="T123" s="1083"/>
      <c r="U123" s="1083"/>
    </row>
    <row r="124" spans="1:21" outlineLevel="2">
      <c r="A124" s="1088" t="s">
        <v>1137</v>
      </c>
      <c r="B124" s="1089"/>
      <c r="C124" s="1083"/>
      <c r="D124" s="1083"/>
      <c r="E124" s="1083"/>
      <c r="F124" s="1083"/>
      <c r="G124" s="1083"/>
      <c r="H124" s="1083"/>
      <c r="I124" s="1083"/>
      <c r="J124" s="1083"/>
      <c r="K124" s="1083"/>
      <c r="L124" s="1083"/>
      <c r="M124" s="1083"/>
      <c r="N124" s="1083"/>
      <c r="O124" s="1083"/>
      <c r="P124" s="1083"/>
      <c r="Q124" s="1083"/>
      <c r="R124" s="1083"/>
      <c r="S124" s="1083"/>
      <c r="T124" s="1083"/>
      <c r="U124" s="1083"/>
    </row>
    <row r="125" spans="1:21" outlineLevel="2">
      <c r="A125" s="1088" t="s">
        <v>1138</v>
      </c>
      <c r="B125" s="1089"/>
      <c r="C125" s="1083"/>
      <c r="D125" s="1083"/>
      <c r="E125" s="1083"/>
      <c r="F125" s="1083"/>
      <c r="G125" s="1083"/>
      <c r="H125" s="1083"/>
      <c r="I125" s="1083"/>
      <c r="J125" s="1083"/>
      <c r="K125" s="1083"/>
      <c r="L125" s="1083"/>
      <c r="M125" s="1083"/>
      <c r="N125" s="1083"/>
      <c r="O125" s="1083"/>
      <c r="P125" s="1083"/>
      <c r="Q125" s="1083"/>
      <c r="R125" s="1083"/>
      <c r="S125" s="1083"/>
      <c r="T125" s="1083"/>
      <c r="U125" s="1083"/>
    </row>
    <row r="126" spans="1:21" outlineLevel="2">
      <c r="A126" s="1088" t="s">
        <v>1139</v>
      </c>
      <c r="B126" s="1089"/>
      <c r="C126" s="1083"/>
      <c r="D126" s="1083"/>
      <c r="E126" s="1083"/>
      <c r="F126" s="1083"/>
      <c r="G126" s="1083"/>
      <c r="H126" s="1083"/>
      <c r="I126" s="1083"/>
      <c r="J126" s="1083"/>
      <c r="K126" s="1083"/>
      <c r="L126" s="1083"/>
      <c r="M126" s="1083"/>
      <c r="N126" s="1083"/>
      <c r="O126" s="1083"/>
      <c r="P126" s="1083"/>
      <c r="Q126" s="1083"/>
      <c r="R126" s="1083"/>
      <c r="S126" s="1083"/>
      <c r="T126" s="1083"/>
      <c r="U126" s="1083"/>
    </row>
    <row r="127" spans="1:21" ht="15.75" outlineLevel="1">
      <c r="A127" s="1095" t="s">
        <v>1140</v>
      </c>
      <c r="B127" s="1096"/>
      <c r="C127" s="1086" t="s">
        <v>341</v>
      </c>
      <c r="D127" s="1083"/>
      <c r="F127" s="1083"/>
      <c r="G127" s="1083"/>
      <c r="H127" s="1083"/>
      <c r="I127" s="1083"/>
      <c r="J127" s="1083"/>
      <c r="K127" s="1083"/>
      <c r="L127" s="1083"/>
      <c r="M127" s="1083"/>
      <c r="N127" s="1083"/>
      <c r="O127" s="1083"/>
      <c r="P127" s="1083"/>
      <c r="Q127" s="1083"/>
      <c r="R127" s="1083"/>
      <c r="S127" s="1083"/>
      <c r="T127" s="1083"/>
      <c r="U127" s="1083"/>
    </row>
    <row r="128" spans="1:21" outlineLevel="2">
      <c r="A128" s="1088" t="s">
        <v>1141</v>
      </c>
      <c r="B128" s="1089"/>
      <c r="C128" s="1083"/>
      <c r="D128" s="1083"/>
      <c r="F128" s="1083"/>
      <c r="G128" s="1083"/>
      <c r="H128" s="1083"/>
      <c r="I128" s="1083"/>
      <c r="J128" s="1083"/>
      <c r="K128" s="1083"/>
      <c r="L128" s="1083"/>
      <c r="M128" s="1083"/>
      <c r="N128" s="1083"/>
      <c r="O128" s="1083"/>
      <c r="P128" s="1083"/>
      <c r="Q128" s="1083"/>
      <c r="R128" s="1083"/>
      <c r="S128" s="1083"/>
      <c r="T128" s="1083"/>
      <c r="U128" s="1083"/>
    </row>
    <row r="129" spans="1:21" ht="15.75">
      <c r="A129" s="1084" t="s">
        <v>1142</v>
      </c>
      <c r="B129" s="1085"/>
      <c r="C129" s="1086"/>
      <c r="D129" s="1083"/>
      <c r="F129" s="1083"/>
      <c r="G129" s="1083"/>
      <c r="H129" s="1083"/>
      <c r="I129" s="1083"/>
      <c r="J129" s="1083"/>
      <c r="K129" s="1083"/>
      <c r="L129" s="1083"/>
      <c r="M129" s="1083"/>
      <c r="N129" s="1083"/>
      <c r="O129" s="1083"/>
      <c r="P129" s="1083"/>
      <c r="Q129" s="1083"/>
      <c r="R129" s="1083"/>
      <c r="S129" s="1083"/>
      <c r="T129" s="1083"/>
      <c r="U129" s="1083"/>
    </row>
    <row r="130" spans="1:21" ht="15.75" outlineLevel="1">
      <c r="A130" s="1095" t="s">
        <v>1143</v>
      </c>
      <c r="B130" s="1096"/>
      <c r="C130" s="1086" t="s">
        <v>277</v>
      </c>
      <c r="D130" s="1083"/>
      <c r="G130" s="1083"/>
      <c r="H130" s="1083"/>
      <c r="I130" s="1083"/>
      <c r="J130" s="1083"/>
      <c r="K130" s="1083"/>
      <c r="L130" s="1083"/>
      <c r="M130" s="1083"/>
      <c r="N130" s="1083"/>
      <c r="O130" s="1083"/>
      <c r="P130" s="1083"/>
      <c r="Q130" s="1083"/>
      <c r="R130" s="1083"/>
      <c r="S130" s="1083"/>
      <c r="T130" s="1083"/>
      <c r="U130" s="1083"/>
    </row>
    <row r="131" spans="1:21" outlineLevel="2">
      <c r="A131" s="1088" t="s">
        <v>1144</v>
      </c>
      <c r="B131" s="1089"/>
      <c r="C131" s="1083"/>
      <c r="D131" s="1083"/>
      <c r="G131" s="1083"/>
      <c r="H131" s="1083"/>
      <c r="I131" s="1083"/>
      <c r="J131" s="1083"/>
      <c r="K131" s="1083"/>
      <c r="L131" s="1083"/>
      <c r="M131" s="1083"/>
      <c r="N131" s="1083"/>
      <c r="O131" s="1083"/>
      <c r="P131" s="1083"/>
      <c r="Q131" s="1083"/>
      <c r="R131" s="1083"/>
      <c r="S131" s="1083"/>
      <c r="T131" s="1083"/>
      <c r="U131" s="1083"/>
    </row>
    <row r="132" spans="1:21" ht="15.75" outlineLevel="1">
      <c r="A132" s="1095" t="s">
        <v>1145</v>
      </c>
      <c r="B132" s="1096"/>
      <c r="C132" s="1086" t="s">
        <v>277</v>
      </c>
      <c r="D132" s="1083"/>
      <c r="E132" s="1098"/>
      <c r="F132" s="1083"/>
      <c r="G132" s="1083"/>
      <c r="H132" s="1083"/>
      <c r="I132" s="1083"/>
      <c r="J132" s="1083"/>
      <c r="K132" s="1083"/>
      <c r="L132" s="1083"/>
      <c r="M132" s="1083"/>
      <c r="N132" s="1083"/>
      <c r="O132" s="1083"/>
      <c r="P132" s="1083"/>
      <c r="Q132" s="1083"/>
      <c r="R132" s="1083"/>
      <c r="S132" s="1083"/>
      <c r="T132" s="1083"/>
      <c r="U132" s="1083"/>
    </row>
    <row r="133" spans="1:21" outlineLevel="2">
      <c r="A133" s="1088" t="s">
        <v>1146</v>
      </c>
      <c r="B133" s="1089"/>
      <c r="C133" s="1083"/>
      <c r="D133" s="1083"/>
      <c r="F133" s="1083"/>
      <c r="G133" s="1083"/>
      <c r="H133" s="1083"/>
      <c r="I133" s="1083"/>
      <c r="J133" s="1083"/>
      <c r="K133" s="1083"/>
      <c r="L133" s="1083"/>
      <c r="M133" s="1083"/>
      <c r="N133" s="1083"/>
      <c r="O133" s="1083"/>
      <c r="P133" s="1083"/>
      <c r="Q133" s="1083"/>
      <c r="R133" s="1083"/>
      <c r="S133" s="1083"/>
      <c r="T133" s="1083"/>
      <c r="U133" s="1083"/>
    </row>
    <row r="134" spans="1:21" outlineLevel="2">
      <c r="A134" s="1088" t="s">
        <v>1147</v>
      </c>
      <c r="B134" s="1089"/>
      <c r="C134" s="1083"/>
      <c r="D134" s="1083"/>
      <c r="F134" s="1083"/>
      <c r="G134" s="1083"/>
      <c r="H134" s="1083"/>
      <c r="I134" s="1083"/>
      <c r="J134" s="1083"/>
      <c r="K134" s="1083"/>
      <c r="L134" s="1083"/>
      <c r="M134" s="1083"/>
      <c r="N134" s="1083"/>
      <c r="O134" s="1083"/>
      <c r="P134" s="1083"/>
      <c r="Q134" s="1083"/>
      <c r="R134" s="1083"/>
      <c r="S134" s="1083"/>
      <c r="T134" s="1083"/>
      <c r="U134" s="1083"/>
    </row>
    <row r="135" spans="1:21" ht="15.75" outlineLevel="1">
      <c r="A135" s="1095" t="s">
        <v>1148</v>
      </c>
      <c r="B135" s="1096"/>
      <c r="C135" s="1086" t="s">
        <v>277</v>
      </c>
      <c r="D135" s="1083"/>
      <c r="E135" s="1083"/>
      <c r="F135" s="1083"/>
      <c r="G135" s="1083"/>
      <c r="H135" s="1083"/>
      <c r="I135" s="1083"/>
      <c r="J135" s="1083"/>
      <c r="K135" s="1083"/>
      <c r="L135" s="1083"/>
      <c r="M135" s="1083"/>
      <c r="N135" s="1083"/>
      <c r="O135" s="1083"/>
      <c r="P135" s="1083"/>
      <c r="Q135" s="1083"/>
      <c r="R135" s="1083"/>
      <c r="S135" s="1083"/>
      <c r="T135" s="1083"/>
      <c r="U135" s="1083"/>
    </row>
    <row r="136" spans="1:21" outlineLevel="2">
      <c r="A136" s="1088" t="s">
        <v>1149</v>
      </c>
      <c r="B136" s="1089"/>
      <c r="C136" s="1083"/>
      <c r="D136" s="1083"/>
      <c r="E136" s="1083"/>
      <c r="F136" s="1083"/>
      <c r="G136" s="1083"/>
      <c r="H136" s="1083"/>
      <c r="I136" s="1083"/>
      <c r="J136" s="1083"/>
      <c r="K136" s="1083"/>
      <c r="L136" s="1083"/>
      <c r="M136" s="1083"/>
      <c r="N136" s="1083"/>
      <c r="O136" s="1083"/>
      <c r="P136" s="1083"/>
      <c r="Q136" s="1083"/>
      <c r="R136" s="1083"/>
      <c r="S136" s="1083"/>
      <c r="T136" s="1083"/>
      <c r="U136" s="1083"/>
    </row>
    <row r="137" spans="1:21" ht="15.75" outlineLevel="1">
      <c r="A137" s="1095" t="s">
        <v>1150</v>
      </c>
      <c r="B137" s="1096"/>
      <c r="C137" s="1086" t="s">
        <v>277</v>
      </c>
      <c r="D137" s="1083"/>
      <c r="F137" s="1083"/>
      <c r="G137" s="1083"/>
      <c r="H137" s="1083"/>
      <c r="I137" s="1083"/>
      <c r="J137" s="1083"/>
      <c r="K137" s="1083"/>
      <c r="L137" s="1083"/>
      <c r="M137" s="1083"/>
      <c r="N137" s="1083"/>
      <c r="O137" s="1083"/>
      <c r="P137" s="1083"/>
      <c r="Q137" s="1083"/>
      <c r="R137" s="1083"/>
      <c r="S137" s="1083"/>
      <c r="T137" s="1083"/>
      <c r="U137" s="1083"/>
    </row>
    <row r="138" spans="1:21" outlineLevel="2">
      <c r="A138" s="1088" t="s">
        <v>1151</v>
      </c>
      <c r="B138" s="1089"/>
      <c r="C138" s="1083"/>
      <c r="D138" s="1083"/>
      <c r="F138" s="1083"/>
      <c r="G138" s="1083"/>
      <c r="H138" s="1083"/>
      <c r="I138" s="1083"/>
      <c r="J138" s="1083"/>
      <c r="K138" s="1083"/>
      <c r="L138" s="1083"/>
      <c r="M138" s="1083"/>
      <c r="N138" s="1083"/>
      <c r="O138" s="1083"/>
      <c r="P138" s="1083"/>
      <c r="Q138" s="1083"/>
      <c r="R138" s="1083"/>
      <c r="S138" s="1083"/>
      <c r="T138" s="1083"/>
      <c r="U138" s="1083"/>
    </row>
    <row r="139" spans="1:21" ht="15.75" outlineLevel="1">
      <c r="A139" s="1095" t="s">
        <v>1152</v>
      </c>
      <c r="B139" s="1096"/>
      <c r="C139" s="1086" t="s">
        <v>277</v>
      </c>
      <c r="F139" s="1083"/>
      <c r="G139" s="1083"/>
      <c r="H139" s="1083"/>
      <c r="I139" s="1083"/>
      <c r="J139" s="1083"/>
      <c r="K139" s="1083"/>
      <c r="L139" s="1083"/>
      <c r="M139" s="1083"/>
      <c r="N139" s="1083"/>
      <c r="O139" s="1083"/>
      <c r="P139" s="1083"/>
      <c r="Q139" s="1083"/>
      <c r="R139" s="1083"/>
      <c r="S139" s="1083"/>
      <c r="T139" s="1083"/>
      <c r="U139" s="1083"/>
    </row>
    <row r="140" spans="1:21" outlineLevel="2">
      <c r="A140" s="1088" t="s">
        <v>1153</v>
      </c>
      <c r="B140" s="1089"/>
      <c r="C140" s="1083"/>
      <c r="F140" s="1083"/>
      <c r="G140" s="1083"/>
      <c r="H140" s="1083"/>
      <c r="I140" s="1083"/>
      <c r="J140" s="1083"/>
      <c r="K140" s="1083"/>
      <c r="L140" s="1083"/>
      <c r="M140" s="1083"/>
      <c r="N140" s="1083"/>
      <c r="O140" s="1083"/>
      <c r="P140" s="1083"/>
      <c r="Q140" s="1083"/>
      <c r="R140" s="1083"/>
      <c r="S140" s="1083"/>
      <c r="T140" s="1083"/>
      <c r="U140" s="1083"/>
    </row>
    <row r="141" spans="1:21" outlineLevel="2">
      <c r="A141" s="1088" t="s">
        <v>1154</v>
      </c>
      <c r="B141" s="1089"/>
      <c r="C141" s="1083"/>
      <c r="F141" s="1083"/>
      <c r="G141" s="1083"/>
      <c r="H141" s="1083"/>
      <c r="I141" s="1083"/>
      <c r="J141" s="1083"/>
      <c r="K141" s="1083"/>
      <c r="L141" s="1083"/>
      <c r="M141" s="1083"/>
      <c r="N141" s="1083"/>
      <c r="O141" s="1083"/>
      <c r="P141" s="1083"/>
      <c r="Q141" s="1083"/>
      <c r="R141" s="1083"/>
      <c r="S141" s="1083"/>
      <c r="T141" s="1083"/>
      <c r="U141" s="1083"/>
    </row>
    <row r="142" spans="1:21" ht="15.75" outlineLevel="1">
      <c r="A142" s="1095" t="s">
        <v>1155</v>
      </c>
      <c r="B142" s="1096"/>
      <c r="C142" s="1086" t="s">
        <v>277</v>
      </c>
      <c r="D142" s="1083"/>
      <c r="F142" s="1083"/>
      <c r="G142" s="1083"/>
      <c r="H142" s="1083"/>
      <c r="I142" s="1083"/>
      <c r="J142" s="1083"/>
      <c r="K142" s="1083"/>
      <c r="L142" s="1083"/>
      <c r="M142" s="1083"/>
      <c r="N142" s="1083"/>
      <c r="O142" s="1083"/>
      <c r="P142" s="1083"/>
      <c r="Q142" s="1083"/>
      <c r="R142" s="1083"/>
      <c r="S142" s="1083"/>
      <c r="T142" s="1083"/>
      <c r="U142" s="1083"/>
    </row>
    <row r="143" spans="1:21" outlineLevel="2">
      <c r="A143" s="1088" t="s">
        <v>1156</v>
      </c>
      <c r="B143" s="1089"/>
      <c r="C143" s="1083"/>
      <c r="D143" s="1083"/>
      <c r="F143" s="1083"/>
      <c r="G143" s="1083"/>
      <c r="H143" s="1083"/>
      <c r="I143" s="1083"/>
      <c r="J143" s="1083"/>
      <c r="K143" s="1083"/>
      <c r="L143" s="1083"/>
      <c r="M143" s="1083"/>
      <c r="N143" s="1083"/>
      <c r="O143" s="1083"/>
      <c r="P143" s="1083"/>
      <c r="Q143" s="1083"/>
      <c r="R143" s="1083"/>
      <c r="S143" s="1083"/>
      <c r="T143" s="1083"/>
      <c r="U143" s="1083"/>
    </row>
    <row r="144" spans="1:21" outlineLevel="2">
      <c r="A144" s="1088" t="s">
        <v>1157</v>
      </c>
      <c r="B144" s="1089"/>
      <c r="C144" s="1083"/>
      <c r="D144" s="1083"/>
      <c r="F144" s="1083"/>
      <c r="G144" s="1083"/>
      <c r="H144" s="1083"/>
      <c r="I144" s="1083"/>
      <c r="J144" s="1083"/>
      <c r="K144" s="1083"/>
      <c r="L144" s="1083"/>
      <c r="M144" s="1083"/>
      <c r="N144" s="1083"/>
      <c r="O144" s="1083"/>
      <c r="P144" s="1083"/>
      <c r="Q144" s="1083"/>
      <c r="R144" s="1083"/>
      <c r="S144" s="1083"/>
      <c r="T144" s="1083"/>
      <c r="U144" s="1083"/>
    </row>
    <row r="145" spans="1:21" ht="15.75" outlineLevel="1">
      <c r="A145" s="1095" t="s">
        <v>1158</v>
      </c>
      <c r="B145" s="1096"/>
      <c r="C145" s="1086" t="s">
        <v>277</v>
      </c>
      <c r="D145" s="1083"/>
      <c r="F145" s="1083"/>
      <c r="G145" s="1083"/>
      <c r="H145" s="1083"/>
      <c r="I145" s="1083"/>
      <c r="J145" s="1083"/>
      <c r="K145" s="1083"/>
      <c r="L145" s="1083"/>
      <c r="M145" s="1083"/>
      <c r="N145" s="1083"/>
      <c r="O145" s="1083"/>
      <c r="P145" s="1083"/>
      <c r="Q145" s="1083"/>
      <c r="R145" s="1083"/>
      <c r="S145" s="1083"/>
      <c r="T145" s="1083"/>
      <c r="U145" s="1083"/>
    </row>
    <row r="146" spans="1:21" outlineLevel="2">
      <c r="A146" s="1088" t="s">
        <v>1159</v>
      </c>
      <c r="B146" s="1089"/>
      <c r="C146" s="1083"/>
      <c r="D146" s="1083"/>
      <c r="F146" s="1083"/>
      <c r="G146" s="1083"/>
      <c r="H146" s="1083"/>
      <c r="I146" s="1083"/>
      <c r="J146" s="1083"/>
      <c r="K146" s="1083"/>
      <c r="L146" s="1083"/>
      <c r="M146" s="1083"/>
      <c r="N146" s="1083"/>
      <c r="O146" s="1083"/>
      <c r="P146" s="1083"/>
      <c r="Q146" s="1083"/>
      <c r="R146" s="1083"/>
      <c r="S146" s="1083"/>
      <c r="T146" s="1083"/>
      <c r="U146" s="1083"/>
    </row>
    <row r="147" spans="1:21" ht="15.75" outlineLevel="1">
      <c r="A147" s="1095" t="s">
        <v>1160</v>
      </c>
      <c r="B147" s="1096"/>
      <c r="C147" s="1086" t="s">
        <v>341</v>
      </c>
      <c r="D147" s="1083"/>
      <c r="F147" s="1083"/>
      <c r="G147" s="1083"/>
      <c r="H147" s="1083"/>
      <c r="I147" s="1083"/>
      <c r="J147" s="1083"/>
      <c r="K147" s="1083"/>
      <c r="L147" s="1083"/>
      <c r="M147" s="1083"/>
      <c r="N147" s="1083"/>
      <c r="O147" s="1083"/>
      <c r="P147" s="1083"/>
      <c r="Q147" s="1083"/>
      <c r="R147" s="1083"/>
      <c r="S147" s="1083"/>
      <c r="T147" s="1083"/>
      <c r="U147" s="1083"/>
    </row>
    <row r="148" spans="1:21" outlineLevel="2">
      <c r="A148" s="1088" t="s">
        <v>1161</v>
      </c>
      <c r="B148" s="1089"/>
      <c r="C148" s="1083"/>
      <c r="D148" s="1083"/>
      <c r="F148" s="1083"/>
      <c r="G148" s="1083"/>
      <c r="H148" s="1083"/>
      <c r="I148" s="1083"/>
      <c r="J148" s="1083"/>
      <c r="K148" s="1083"/>
      <c r="L148" s="1083"/>
      <c r="M148" s="1083"/>
      <c r="N148" s="1083"/>
      <c r="O148" s="1083"/>
      <c r="P148" s="1083"/>
      <c r="Q148" s="1083"/>
      <c r="R148" s="1083"/>
      <c r="S148" s="1083"/>
      <c r="T148" s="1083"/>
      <c r="U148" s="1083"/>
    </row>
    <row r="149" spans="1:21" outlineLevel="2">
      <c r="A149" s="1093" t="s">
        <v>1162</v>
      </c>
      <c r="B149" s="1089"/>
      <c r="C149" s="1083"/>
      <c r="D149" s="1083"/>
      <c r="F149" s="1083"/>
      <c r="G149" s="1083"/>
      <c r="H149" s="1083"/>
      <c r="I149" s="1083"/>
      <c r="J149" s="1083"/>
      <c r="K149" s="1083"/>
      <c r="L149" s="1083"/>
      <c r="M149" s="1083"/>
      <c r="N149" s="1083"/>
      <c r="O149" s="1083"/>
      <c r="P149" s="1083"/>
      <c r="Q149" s="1083"/>
      <c r="R149" s="1083"/>
      <c r="S149" s="1083"/>
      <c r="T149" s="1083"/>
      <c r="U149" s="1083"/>
    </row>
    <row r="150" spans="1:21" outlineLevel="2">
      <c r="A150" s="1088" t="s">
        <v>1163</v>
      </c>
      <c r="B150" s="1089"/>
      <c r="C150" s="1083"/>
      <c r="D150" s="1083"/>
      <c r="F150" s="1083"/>
      <c r="G150" s="1083"/>
      <c r="H150" s="1083"/>
      <c r="I150" s="1083"/>
      <c r="J150" s="1083"/>
      <c r="K150" s="1083"/>
      <c r="L150" s="1083"/>
      <c r="M150" s="1083"/>
      <c r="N150" s="1083"/>
      <c r="O150" s="1083"/>
      <c r="P150" s="1083"/>
      <c r="Q150" s="1083"/>
      <c r="R150" s="1083"/>
      <c r="S150" s="1083"/>
      <c r="T150" s="1083"/>
      <c r="U150" s="1083"/>
    </row>
    <row r="151" spans="1:21" ht="15.75" outlineLevel="1">
      <c r="A151" s="1095" t="s">
        <v>1164</v>
      </c>
      <c r="B151" s="1096"/>
      <c r="C151" s="1086" t="s">
        <v>277</v>
      </c>
      <c r="D151" s="1083"/>
      <c r="F151" s="1083"/>
      <c r="G151" s="1083"/>
      <c r="H151" s="1083"/>
      <c r="I151" s="1083"/>
      <c r="J151" s="1083"/>
      <c r="K151" s="1083"/>
      <c r="L151" s="1083"/>
      <c r="M151" s="1083"/>
      <c r="N151" s="1083"/>
      <c r="O151" s="1083"/>
      <c r="P151" s="1083"/>
      <c r="Q151" s="1083"/>
      <c r="R151" s="1083"/>
      <c r="S151" s="1083"/>
      <c r="T151" s="1083"/>
      <c r="U151" s="1083"/>
    </row>
    <row r="152" spans="1:21" outlineLevel="2">
      <c r="A152" s="1093" t="s">
        <v>1165</v>
      </c>
      <c r="B152" s="1089"/>
      <c r="C152" s="1083"/>
      <c r="D152" s="1083"/>
      <c r="F152" s="1083"/>
      <c r="G152" s="1083"/>
      <c r="H152" s="1083"/>
      <c r="I152" s="1083"/>
      <c r="J152" s="1083"/>
      <c r="K152" s="1083"/>
      <c r="L152" s="1083"/>
      <c r="M152" s="1083"/>
      <c r="N152" s="1083"/>
      <c r="O152" s="1083"/>
      <c r="P152" s="1083"/>
      <c r="Q152" s="1083"/>
      <c r="R152" s="1083"/>
      <c r="S152" s="1083"/>
      <c r="T152" s="1083"/>
      <c r="U152" s="1083"/>
    </row>
    <row r="153" spans="1:21" outlineLevel="2">
      <c r="A153" s="1093" t="s">
        <v>1166</v>
      </c>
      <c r="B153" s="1089"/>
      <c r="C153" s="1083"/>
      <c r="D153" s="1083"/>
      <c r="F153" s="1083"/>
      <c r="G153" s="1083"/>
      <c r="H153" s="1083"/>
      <c r="I153" s="1083"/>
      <c r="J153" s="1083"/>
      <c r="K153" s="1083"/>
      <c r="L153" s="1083"/>
      <c r="M153" s="1083"/>
      <c r="N153" s="1083"/>
      <c r="O153" s="1083"/>
      <c r="P153" s="1083"/>
      <c r="Q153" s="1083"/>
      <c r="R153" s="1083"/>
      <c r="S153" s="1083"/>
      <c r="T153" s="1083"/>
      <c r="U153" s="1083"/>
    </row>
    <row r="154" spans="1:21" ht="15.75">
      <c r="A154" s="1084" t="s">
        <v>1167</v>
      </c>
      <c r="B154" s="1085"/>
      <c r="C154" s="1086" t="s">
        <v>277</v>
      </c>
      <c r="D154" s="1083"/>
      <c r="F154" s="1083"/>
      <c r="G154" s="1083"/>
      <c r="H154" s="1083"/>
      <c r="I154" s="1083"/>
      <c r="J154" s="1083"/>
      <c r="K154" s="1083"/>
      <c r="L154" s="1083"/>
      <c r="M154" s="1083"/>
      <c r="N154" s="1083"/>
      <c r="O154" s="1083"/>
      <c r="P154" s="1083"/>
      <c r="Q154" s="1083"/>
      <c r="R154" s="1083"/>
      <c r="S154" s="1083"/>
      <c r="T154" s="1083"/>
      <c r="U154" s="1083"/>
    </row>
    <row r="155" spans="1:21" ht="15.75" outlineLevel="1">
      <c r="A155" s="1095" t="s">
        <v>1168</v>
      </c>
      <c r="B155" s="1096"/>
      <c r="C155" s="1083"/>
      <c r="D155" s="1083"/>
      <c r="F155" s="1083"/>
      <c r="G155" s="1083"/>
      <c r="H155" s="1083"/>
      <c r="I155" s="1083"/>
      <c r="J155" s="1083"/>
      <c r="K155" s="1083"/>
      <c r="L155" s="1083"/>
      <c r="M155" s="1083"/>
      <c r="N155" s="1083"/>
      <c r="O155" s="1083"/>
      <c r="P155" s="1083"/>
      <c r="Q155" s="1083"/>
      <c r="R155" s="1083"/>
      <c r="S155" s="1083"/>
      <c r="T155" s="1083"/>
      <c r="U155" s="1083"/>
    </row>
    <row r="156" spans="1:21" outlineLevel="2">
      <c r="A156" s="1088" t="s">
        <v>1169</v>
      </c>
      <c r="B156" s="1089"/>
      <c r="C156" s="1083"/>
      <c r="D156" s="1083"/>
      <c r="F156" s="1083"/>
      <c r="G156" s="1083"/>
      <c r="H156" s="1083"/>
      <c r="I156" s="1083"/>
      <c r="J156" s="1083"/>
      <c r="K156" s="1083"/>
      <c r="L156" s="1083"/>
      <c r="M156" s="1083"/>
      <c r="N156" s="1083"/>
      <c r="O156" s="1083"/>
      <c r="P156" s="1083"/>
      <c r="Q156" s="1083"/>
      <c r="R156" s="1083"/>
      <c r="S156" s="1083"/>
      <c r="T156" s="1083"/>
      <c r="U156" s="1083"/>
    </row>
    <row r="157" spans="1:21" ht="15.75" outlineLevel="1">
      <c r="A157" s="1095" t="s">
        <v>1170</v>
      </c>
      <c r="B157" s="1096"/>
      <c r="C157" s="1083"/>
      <c r="D157" s="1083"/>
      <c r="E157" s="1083"/>
      <c r="F157" s="1083"/>
      <c r="G157" s="1083"/>
      <c r="H157" s="1083"/>
      <c r="I157" s="1083"/>
      <c r="J157" s="1083"/>
      <c r="K157" s="1083"/>
      <c r="L157" s="1083"/>
      <c r="M157" s="1083"/>
      <c r="N157" s="1083"/>
      <c r="O157" s="1083"/>
      <c r="P157" s="1083"/>
      <c r="Q157" s="1083"/>
      <c r="R157" s="1083"/>
      <c r="S157" s="1083"/>
      <c r="T157" s="1083"/>
      <c r="U157" s="1083"/>
    </row>
    <row r="158" spans="1:21" ht="30" outlineLevel="2">
      <c r="A158" s="1091" t="s">
        <v>1171</v>
      </c>
      <c r="B158" s="1089"/>
      <c r="C158" s="1083"/>
      <c r="D158" s="1083"/>
      <c r="E158" s="1083"/>
      <c r="F158" s="1083"/>
      <c r="G158" s="1083"/>
      <c r="H158" s="1083"/>
      <c r="I158" s="1083"/>
      <c r="J158" s="1083"/>
      <c r="K158" s="1083"/>
      <c r="L158" s="1083"/>
      <c r="M158" s="1083"/>
      <c r="N158" s="1083"/>
      <c r="O158" s="1083"/>
      <c r="P158" s="1083"/>
      <c r="Q158" s="1083"/>
      <c r="R158" s="1083"/>
      <c r="S158" s="1083"/>
      <c r="T158" s="1083"/>
      <c r="U158" s="1083"/>
    </row>
    <row r="159" spans="1:21" ht="15.75" outlineLevel="1">
      <c r="A159" s="1095" t="s">
        <v>1172</v>
      </c>
      <c r="B159" s="1096"/>
      <c r="C159" s="1083"/>
      <c r="D159" s="1083"/>
      <c r="E159" s="1083"/>
      <c r="F159" s="1083"/>
      <c r="G159" s="1083"/>
      <c r="H159" s="1083"/>
      <c r="I159" s="1083"/>
      <c r="J159" s="1083"/>
      <c r="K159" s="1083"/>
      <c r="L159" s="1083"/>
      <c r="M159" s="1083"/>
      <c r="N159" s="1083"/>
      <c r="O159" s="1083"/>
      <c r="P159" s="1083"/>
      <c r="Q159" s="1083"/>
      <c r="R159" s="1083"/>
      <c r="S159" s="1083"/>
      <c r="T159" s="1083"/>
      <c r="U159" s="1083"/>
    </row>
    <row r="160" spans="1:21" ht="30" outlineLevel="2">
      <c r="A160" s="1091" t="s">
        <v>1173</v>
      </c>
      <c r="B160" s="1089"/>
      <c r="C160" s="1083"/>
      <c r="D160" s="1083"/>
      <c r="E160" s="1083"/>
      <c r="F160" s="1083"/>
      <c r="G160" s="1083"/>
      <c r="H160" s="1083"/>
      <c r="I160" s="1083"/>
      <c r="J160" s="1083"/>
      <c r="K160" s="1083"/>
      <c r="L160" s="1083"/>
      <c r="M160" s="1083"/>
      <c r="N160" s="1083"/>
      <c r="O160" s="1083"/>
      <c r="P160" s="1083"/>
      <c r="Q160" s="1083"/>
      <c r="R160" s="1083"/>
      <c r="S160" s="1083"/>
      <c r="T160" s="1083"/>
      <c r="U160" s="1083"/>
    </row>
    <row r="161" spans="1:21" outlineLevel="2">
      <c r="A161" s="1091" t="s">
        <v>1174</v>
      </c>
      <c r="B161" s="1089"/>
      <c r="C161" s="1083"/>
      <c r="D161" s="1083"/>
      <c r="E161" s="1083"/>
      <c r="F161" s="1083"/>
      <c r="G161" s="1083"/>
      <c r="H161" s="1083"/>
      <c r="I161" s="1083"/>
      <c r="J161" s="1083"/>
      <c r="K161" s="1083"/>
      <c r="L161" s="1083"/>
      <c r="M161" s="1083"/>
      <c r="N161" s="1083"/>
      <c r="O161" s="1083"/>
      <c r="P161" s="1083"/>
      <c r="Q161" s="1083"/>
      <c r="R161" s="1083"/>
      <c r="S161" s="1083"/>
      <c r="T161" s="1083"/>
      <c r="U161" s="1083"/>
    </row>
    <row r="162" spans="1:21" ht="15.75" outlineLevel="1">
      <c r="A162" s="1095" t="s">
        <v>1175</v>
      </c>
      <c r="B162" s="1096"/>
      <c r="C162" s="1083"/>
      <c r="D162" s="1083"/>
      <c r="E162" s="1083"/>
      <c r="F162" s="1083"/>
      <c r="G162" s="1083"/>
      <c r="H162" s="1083"/>
      <c r="I162" s="1083"/>
      <c r="J162" s="1083"/>
      <c r="K162" s="1083"/>
      <c r="L162" s="1083"/>
      <c r="M162" s="1083"/>
      <c r="N162" s="1083"/>
      <c r="O162" s="1083"/>
      <c r="P162" s="1083"/>
      <c r="Q162" s="1083"/>
      <c r="R162" s="1083"/>
      <c r="S162" s="1083"/>
      <c r="T162" s="1083"/>
      <c r="U162" s="1083"/>
    </row>
    <row r="163" spans="1:21" ht="30" outlineLevel="2">
      <c r="A163" s="1091" t="s">
        <v>1176</v>
      </c>
      <c r="B163" s="1089"/>
      <c r="C163" s="1083"/>
      <c r="D163" s="1083"/>
      <c r="E163" s="1083"/>
      <c r="F163" s="1083"/>
      <c r="G163" s="1083"/>
      <c r="H163" s="1083"/>
      <c r="I163" s="1083"/>
      <c r="J163" s="1083"/>
      <c r="K163" s="1083"/>
      <c r="L163" s="1083"/>
      <c r="M163" s="1083"/>
      <c r="N163" s="1083"/>
      <c r="O163" s="1083"/>
      <c r="P163" s="1083"/>
      <c r="Q163" s="1083"/>
      <c r="R163" s="1083"/>
      <c r="S163" s="1083"/>
      <c r="T163" s="1083"/>
      <c r="U163" s="1083"/>
    </row>
    <row r="164" spans="1:21" ht="15.75" outlineLevel="1">
      <c r="A164" s="1095" t="s">
        <v>1177</v>
      </c>
      <c r="B164" s="1096"/>
      <c r="D164" s="1083"/>
      <c r="E164" s="1083"/>
      <c r="F164" s="1083"/>
      <c r="G164" s="1083"/>
      <c r="H164" s="1083"/>
      <c r="I164" s="1083"/>
      <c r="J164" s="1083"/>
      <c r="K164" s="1083"/>
      <c r="L164" s="1083"/>
      <c r="M164" s="1083"/>
      <c r="N164" s="1083"/>
      <c r="O164" s="1083"/>
      <c r="P164" s="1083"/>
      <c r="Q164" s="1083"/>
      <c r="R164" s="1083"/>
      <c r="S164" s="1083"/>
      <c r="T164" s="1083"/>
      <c r="U164" s="1083"/>
    </row>
    <row r="165" spans="1:21" ht="30" outlineLevel="2">
      <c r="A165" s="1091" t="s">
        <v>1178</v>
      </c>
      <c r="B165" s="1089"/>
      <c r="C165" s="1083"/>
      <c r="D165" s="1083"/>
      <c r="E165" s="1083"/>
      <c r="F165" s="1083"/>
      <c r="G165" s="1083"/>
      <c r="H165" s="1083"/>
      <c r="I165" s="1083"/>
      <c r="J165" s="1083"/>
      <c r="K165" s="1083"/>
      <c r="L165" s="1083"/>
      <c r="M165" s="1083"/>
      <c r="N165" s="1083"/>
      <c r="O165" s="1083"/>
      <c r="P165" s="1083"/>
      <c r="Q165" s="1083"/>
      <c r="R165" s="1083"/>
      <c r="S165" s="1083"/>
      <c r="T165" s="1083"/>
      <c r="U165" s="1083"/>
    </row>
    <row r="166" spans="1:21" outlineLevel="2">
      <c r="A166" s="1088" t="s">
        <v>1179</v>
      </c>
      <c r="B166" s="1089"/>
      <c r="C166" s="1083"/>
      <c r="D166" s="1083"/>
      <c r="E166" s="1083"/>
      <c r="F166" s="1083"/>
      <c r="G166" s="1083"/>
      <c r="H166" s="1083"/>
      <c r="I166" s="1083"/>
      <c r="J166" s="1083"/>
      <c r="K166" s="1083"/>
      <c r="L166" s="1083"/>
      <c r="M166" s="1083"/>
      <c r="N166" s="1083"/>
      <c r="O166" s="1083"/>
      <c r="P166" s="1083"/>
      <c r="Q166" s="1083"/>
      <c r="R166" s="1083"/>
      <c r="S166" s="1083"/>
      <c r="T166" s="1083"/>
      <c r="U166" s="1083"/>
    </row>
    <row r="167" spans="1:21" ht="30" outlineLevel="2">
      <c r="A167" s="1091" t="s">
        <v>1180</v>
      </c>
      <c r="B167" s="1089"/>
      <c r="C167" s="1083"/>
      <c r="D167" s="1083"/>
      <c r="E167" s="1083"/>
      <c r="F167" s="1083"/>
      <c r="G167" s="1083"/>
      <c r="H167" s="1083"/>
      <c r="I167" s="1083"/>
      <c r="J167" s="1083"/>
      <c r="K167" s="1083"/>
      <c r="L167" s="1083"/>
      <c r="M167" s="1083"/>
      <c r="N167" s="1083"/>
      <c r="O167" s="1083"/>
      <c r="P167" s="1083"/>
      <c r="Q167" s="1083"/>
      <c r="R167" s="1083"/>
      <c r="S167" s="1083"/>
      <c r="T167" s="1083"/>
      <c r="U167" s="1083"/>
    </row>
    <row r="168" spans="1:21" outlineLevel="2">
      <c r="A168" s="1091" t="s">
        <v>1181</v>
      </c>
      <c r="B168" s="1089"/>
      <c r="C168" s="1083"/>
      <c r="D168" s="1083"/>
      <c r="E168" s="1083"/>
      <c r="F168" s="1083"/>
      <c r="G168" s="1083"/>
      <c r="H168" s="1083"/>
      <c r="I168" s="1083"/>
      <c r="J168" s="1083"/>
      <c r="K168" s="1083"/>
      <c r="L168" s="1083"/>
      <c r="M168" s="1083"/>
      <c r="N168" s="1083"/>
      <c r="O168" s="1083"/>
      <c r="P168" s="1083"/>
      <c r="Q168" s="1083"/>
      <c r="R168" s="1083"/>
      <c r="S168" s="1083"/>
      <c r="T168" s="1083"/>
      <c r="U168" s="1083"/>
    </row>
    <row r="169" spans="1:21" outlineLevel="2">
      <c r="A169" s="1088" t="s">
        <v>1182</v>
      </c>
      <c r="B169" s="1089"/>
      <c r="C169" s="1083"/>
      <c r="D169" s="1083"/>
      <c r="E169" s="1083"/>
      <c r="F169" s="1083"/>
      <c r="G169" s="1083"/>
      <c r="H169" s="1083"/>
      <c r="I169" s="1083"/>
      <c r="J169" s="1083"/>
      <c r="K169" s="1083"/>
      <c r="L169" s="1083"/>
      <c r="M169" s="1083"/>
      <c r="N169" s="1083"/>
      <c r="O169" s="1083"/>
      <c r="P169" s="1083"/>
      <c r="Q169" s="1083"/>
      <c r="R169" s="1083"/>
      <c r="S169" s="1083"/>
      <c r="T169" s="1083"/>
      <c r="U169" s="1083"/>
    </row>
    <row r="170" spans="1:21" ht="15.75">
      <c r="A170" s="1084" t="s">
        <v>973</v>
      </c>
      <c r="B170" s="1085"/>
      <c r="C170" s="1083" t="s">
        <v>277</v>
      </c>
      <c r="D170" s="1083"/>
      <c r="E170" s="1083"/>
      <c r="F170" s="1083"/>
      <c r="G170" s="1083"/>
      <c r="H170" s="1083"/>
      <c r="I170" s="1083"/>
      <c r="J170" s="1083"/>
      <c r="K170" s="1083"/>
      <c r="L170" s="1083"/>
      <c r="M170" s="1083"/>
      <c r="N170" s="1083"/>
      <c r="O170" s="1083"/>
      <c r="P170" s="1083"/>
      <c r="Q170" s="1083"/>
      <c r="R170" s="1083"/>
      <c r="S170" s="1083"/>
      <c r="T170" s="1083"/>
      <c r="U170" s="1083"/>
    </row>
    <row r="171" spans="1:21" ht="15.75" outlineLevel="1">
      <c r="A171" s="1095" t="s">
        <v>1183</v>
      </c>
      <c r="B171" s="1096"/>
      <c r="C171" s="1083"/>
      <c r="D171" s="1083"/>
      <c r="E171" s="1083"/>
      <c r="F171" s="1083"/>
      <c r="G171" s="1083"/>
      <c r="H171" s="1083"/>
      <c r="I171" s="1083"/>
      <c r="J171" s="1083"/>
      <c r="K171" s="1083"/>
      <c r="L171" s="1083"/>
      <c r="M171" s="1083"/>
      <c r="N171" s="1083"/>
      <c r="O171" s="1083"/>
      <c r="P171" s="1083"/>
      <c r="Q171" s="1083"/>
      <c r="R171" s="1083"/>
      <c r="S171" s="1083"/>
      <c r="T171" s="1083"/>
      <c r="U171" s="1083"/>
    </row>
    <row r="172" spans="1:21" outlineLevel="2">
      <c r="A172" s="1088" t="s">
        <v>1184</v>
      </c>
      <c r="B172" s="1089"/>
      <c r="C172" s="1083"/>
      <c r="D172" s="1083"/>
      <c r="E172" s="1083"/>
      <c r="F172" s="1083"/>
      <c r="G172" s="1083"/>
      <c r="H172" s="1083"/>
      <c r="I172" s="1083"/>
      <c r="J172" s="1083"/>
      <c r="K172" s="1083"/>
      <c r="L172" s="1083"/>
      <c r="M172" s="1083"/>
      <c r="N172" s="1083"/>
      <c r="O172" s="1083"/>
      <c r="P172" s="1083"/>
      <c r="Q172" s="1083"/>
      <c r="R172" s="1083"/>
      <c r="S172" s="1083"/>
      <c r="T172" s="1083"/>
      <c r="U172" s="1083"/>
    </row>
    <row r="173" spans="1:21" ht="15.75" outlineLevel="1">
      <c r="A173" s="1095" t="s">
        <v>1185</v>
      </c>
      <c r="B173" s="1096"/>
      <c r="C173" s="1083"/>
      <c r="D173" s="1083"/>
      <c r="E173" s="1083"/>
      <c r="F173" s="1083"/>
      <c r="G173" s="1083"/>
      <c r="H173" s="1083"/>
      <c r="I173" s="1083"/>
      <c r="J173" s="1083"/>
      <c r="K173" s="1083"/>
      <c r="L173" s="1083"/>
      <c r="M173" s="1083"/>
      <c r="N173" s="1083"/>
      <c r="O173" s="1083"/>
      <c r="P173" s="1083"/>
      <c r="Q173" s="1083"/>
      <c r="R173" s="1083"/>
      <c r="S173" s="1083"/>
      <c r="T173" s="1083"/>
      <c r="U173" s="1083"/>
    </row>
    <row r="174" spans="1:21" outlineLevel="2">
      <c r="A174" s="1088" t="s">
        <v>1186</v>
      </c>
      <c r="B174" s="1089"/>
      <c r="C174" s="1083"/>
      <c r="D174" s="1083"/>
      <c r="E174" s="1083"/>
      <c r="F174" s="1083"/>
      <c r="G174" s="1083"/>
      <c r="H174" s="1083"/>
      <c r="I174" s="1083"/>
      <c r="J174" s="1083"/>
      <c r="K174" s="1083"/>
      <c r="L174" s="1083"/>
      <c r="M174" s="1083"/>
      <c r="N174" s="1083"/>
      <c r="O174" s="1083"/>
      <c r="P174" s="1083"/>
      <c r="Q174" s="1083"/>
      <c r="R174" s="1083"/>
      <c r="S174" s="1083"/>
      <c r="T174" s="1083"/>
      <c r="U174" s="1083"/>
    </row>
    <row r="175" spans="1:21" ht="15.75" outlineLevel="1">
      <c r="A175" s="1095" t="s">
        <v>1187</v>
      </c>
      <c r="B175" s="1096"/>
      <c r="C175" s="1083"/>
      <c r="D175" s="1083"/>
      <c r="E175" s="1083"/>
      <c r="F175" s="1083"/>
      <c r="G175" s="1083"/>
      <c r="H175" s="1083"/>
      <c r="I175" s="1083"/>
      <c r="J175" s="1083"/>
      <c r="K175" s="1083"/>
      <c r="L175" s="1083"/>
      <c r="M175" s="1083"/>
      <c r="N175" s="1083"/>
      <c r="O175" s="1083"/>
      <c r="P175" s="1083"/>
      <c r="Q175" s="1083"/>
      <c r="R175" s="1083"/>
      <c r="S175" s="1083"/>
      <c r="T175" s="1083"/>
      <c r="U175" s="1083"/>
    </row>
    <row r="176" spans="1:21" outlineLevel="2">
      <c r="A176" s="1088" t="s">
        <v>1188</v>
      </c>
      <c r="B176" s="1089"/>
      <c r="C176" s="1083"/>
      <c r="D176" s="1083"/>
      <c r="E176" s="1083"/>
      <c r="F176" s="1083"/>
      <c r="G176" s="1083"/>
      <c r="H176" s="1083"/>
      <c r="I176" s="1083"/>
      <c r="J176" s="1083"/>
      <c r="K176" s="1083"/>
      <c r="L176" s="1083"/>
      <c r="M176" s="1083"/>
      <c r="N176" s="1083"/>
      <c r="O176" s="1083"/>
      <c r="P176" s="1083"/>
      <c r="Q176" s="1083"/>
      <c r="R176" s="1083"/>
      <c r="S176" s="1083"/>
      <c r="T176" s="1083"/>
      <c r="U176" s="1083"/>
    </row>
    <row r="177" spans="1:21" ht="15.75" outlineLevel="1">
      <c r="A177" s="1095" t="s">
        <v>1189</v>
      </c>
      <c r="B177" s="1096"/>
      <c r="C177" s="1083"/>
      <c r="D177" s="1083"/>
      <c r="E177" s="1083"/>
      <c r="F177" s="1083"/>
      <c r="G177" s="1083"/>
      <c r="H177" s="1083"/>
      <c r="I177" s="1083"/>
      <c r="J177" s="1083"/>
      <c r="K177" s="1083"/>
      <c r="L177" s="1083"/>
      <c r="M177" s="1083"/>
      <c r="N177" s="1083"/>
      <c r="O177" s="1083"/>
      <c r="P177" s="1083"/>
      <c r="Q177" s="1083"/>
      <c r="R177" s="1083"/>
      <c r="S177" s="1083"/>
      <c r="T177" s="1083"/>
      <c r="U177" s="1083"/>
    </row>
    <row r="178" spans="1:21" outlineLevel="2">
      <c r="A178" s="1088" t="s">
        <v>1190</v>
      </c>
      <c r="B178" s="1089"/>
      <c r="C178" s="1083"/>
      <c r="D178" s="1083"/>
      <c r="E178" s="1083"/>
      <c r="F178" s="1083"/>
      <c r="G178" s="1083"/>
      <c r="H178" s="1083"/>
      <c r="I178" s="1083"/>
      <c r="J178" s="1083"/>
      <c r="K178" s="1083"/>
      <c r="L178" s="1083"/>
      <c r="M178" s="1083"/>
      <c r="N178" s="1083"/>
      <c r="O178" s="1083"/>
      <c r="P178" s="1083"/>
      <c r="Q178" s="1083"/>
      <c r="R178" s="1083"/>
      <c r="S178" s="1083"/>
      <c r="T178" s="1083"/>
      <c r="U178" s="1083"/>
    </row>
    <row r="179" spans="1:21" ht="15.75" outlineLevel="1">
      <c r="A179" s="1095" t="s">
        <v>1191</v>
      </c>
      <c r="B179" s="1096"/>
      <c r="C179" s="1083"/>
      <c r="E179" s="1083"/>
      <c r="F179" s="1083"/>
      <c r="G179" s="1083"/>
      <c r="H179" s="1083"/>
      <c r="I179" s="1083"/>
      <c r="J179" s="1083"/>
      <c r="K179" s="1083"/>
      <c r="L179" s="1083"/>
      <c r="M179" s="1083"/>
      <c r="N179" s="1083"/>
      <c r="O179" s="1083"/>
      <c r="P179" s="1083"/>
      <c r="Q179" s="1083"/>
      <c r="R179" s="1083"/>
      <c r="S179" s="1083"/>
      <c r="T179" s="1083"/>
      <c r="U179" s="1083"/>
    </row>
    <row r="180" spans="1:21" outlineLevel="2">
      <c r="A180" s="1088" t="s">
        <v>1192</v>
      </c>
      <c r="B180" s="1089"/>
      <c r="C180" s="1083"/>
      <c r="E180" s="1083"/>
      <c r="F180" s="1083"/>
      <c r="G180" s="1083"/>
      <c r="H180" s="1083"/>
      <c r="I180" s="1083"/>
      <c r="J180" s="1083"/>
      <c r="K180" s="1083"/>
      <c r="L180" s="1083"/>
      <c r="M180" s="1083"/>
      <c r="N180" s="1083"/>
      <c r="O180" s="1083"/>
      <c r="P180" s="1083"/>
      <c r="Q180" s="1083"/>
      <c r="R180" s="1083"/>
      <c r="S180" s="1083"/>
      <c r="T180" s="1083"/>
      <c r="U180" s="1083"/>
    </row>
    <row r="181" spans="1:21" ht="15.75" outlineLevel="1">
      <c r="A181" s="1095" t="s">
        <v>1193</v>
      </c>
      <c r="B181" s="1096"/>
      <c r="C181" s="1083"/>
      <c r="D181" s="1083"/>
      <c r="E181" s="1083"/>
      <c r="F181" s="1083"/>
      <c r="G181" s="1083"/>
      <c r="H181" s="1083"/>
      <c r="I181" s="1083"/>
      <c r="J181" s="1083"/>
      <c r="K181" s="1083"/>
      <c r="L181" s="1083"/>
      <c r="M181" s="1083"/>
      <c r="N181" s="1083"/>
      <c r="O181" s="1083"/>
      <c r="P181" s="1083"/>
      <c r="Q181" s="1083"/>
      <c r="R181" s="1083"/>
      <c r="S181" s="1083"/>
      <c r="T181" s="1083"/>
      <c r="U181" s="1083"/>
    </row>
    <row r="182" spans="1:21" outlineLevel="2">
      <c r="A182" s="1088" t="s">
        <v>1194</v>
      </c>
      <c r="B182" s="1089"/>
      <c r="C182" s="1083"/>
      <c r="D182" s="1083"/>
      <c r="E182" s="1083"/>
      <c r="F182" s="1083"/>
      <c r="G182" s="1083"/>
      <c r="H182" s="1083"/>
      <c r="I182" s="1083"/>
      <c r="J182" s="1083"/>
      <c r="K182" s="1083"/>
      <c r="L182" s="1083"/>
      <c r="M182" s="1083"/>
      <c r="N182" s="1083"/>
      <c r="O182" s="1083"/>
      <c r="P182" s="1083"/>
      <c r="Q182" s="1083"/>
      <c r="R182" s="1083"/>
      <c r="S182" s="1083"/>
      <c r="T182" s="1083"/>
      <c r="U182" s="1083"/>
    </row>
    <row r="183" spans="1:21" ht="15.75" outlineLevel="1">
      <c r="A183" s="1095" t="s">
        <v>1195</v>
      </c>
      <c r="B183" s="1096"/>
      <c r="C183" s="1083"/>
      <c r="E183" s="1083"/>
      <c r="F183" s="1083"/>
      <c r="G183" s="1083"/>
      <c r="H183" s="1083"/>
      <c r="I183" s="1083"/>
      <c r="J183" s="1083"/>
      <c r="K183" s="1083"/>
      <c r="L183" s="1083"/>
      <c r="M183" s="1083"/>
      <c r="N183" s="1083"/>
      <c r="O183" s="1083"/>
      <c r="P183" s="1083"/>
      <c r="Q183" s="1083"/>
      <c r="R183" s="1083"/>
      <c r="S183" s="1083"/>
      <c r="T183" s="1083"/>
      <c r="U183" s="1083"/>
    </row>
    <row r="184" spans="1:21" ht="30" outlineLevel="2">
      <c r="A184" s="1088" t="s">
        <v>1196</v>
      </c>
      <c r="B184" s="1089"/>
      <c r="C184" s="1083"/>
      <c r="E184" s="1083"/>
      <c r="F184" s="1083"/>
      <c r="G184" s="1083"/>
      <c r="H184" s="1083"/>
      <c r="I184" s="1083"/>
      <c r="J184" s="1083"/>
      <c r="K184" s="1083"/>
      <c r="L184" s="1083"/>
      <c r="M184" s="1083"/>
      <c r="N184" s="1083"/>
      <c r="O184" s="1083"/>
      <c r="P184" s="1083"/>
      <c r="Q184" s="1083"/>
      <c r="R184" s="1083"/>
      <c r="S184" s="1083"/>
      <c r="T184" s="1083"/>
      <c r="U184" s="1083"/>
    </row>
    <row r="185" spans="1:21" ht="15.75" outlineLevel="1">
      <c r="A185" s="1095"/>
      <c r="B185" s="1096"/>
      <c r="C185" s="1083"/>
      <c r="E185" s="1083"/>
      <c r="F185" s="1083"/>
      <c r="G185" s="1083"/>
      <c r="H185" s="1083"/>
      <c r="I185" s="1083"/>
      <c r="J185" s="1083"/>
      <c r="K185" s="1083"/>
      <c r="L185" s="1083"/>
      <c r="M185" s="1083"/>
      <c r="N185" s="1083"/>
      <c r="O185" s="1083"/>
      <c r="P185" s="1083"/>
      <c r="Q185" s="1083"/>
      <c r="R185" s="1083"/>
      <c r="S185" s="1083"/>
      <c r="T185" s="1083"/>
      <c r="U185" s="1083"/>
    </row>
    <row r="186" spans="1:21" ht="15.75" outlineLevel="1">
      <c r="A186" s="1095" t="s">
        <v>1197</v>
      </c>
      <c r="B186" s="1096"/>
      <c r="C186" s="1097"/>
      <c r="D186" s="1083"/>
      <c r="E186" s="1083"/>
      <c r="F186" s="1083"/>
      <c r="G186" s="1083"/>
      <c r="H186" s="1083"/>
      <c r="I186" s="1083"/>
      <c r="J186" s="1083"/>
      <c r="K186" s="1083"/>
      <c r="L186" s="1083"/>
      <c r="M186" s="1083"/>
      <c r="N186" s="1083"/>
      <c r="O186" s="1083"/>
      <c r="P186" s="1083"/>
      <c r="Q186" s="1083"/>
      <c r="R186" s="1083"/>
      <c r="S186" s="1083"/>
      <c r="T186" s="1083"/>
      <c r="U186" s="1083"/>
    </row>
    <row r="187" spans="1:21" outlineLevel="2">
      <c r="A187" s="1088" t="s">
        <v>1198</v>
      </c>
      <c r="B187" s="1089"/>
      <c r="C187" s="1083"/>
      <c r="D187" s="1083"/>
      <c r="E187" s="1083"/>
      <c r="F187" s="1083"/>
      <c r="G187" s="1083"/>
      <c r="H187" s="1083"/>
      <c r="I187" s="1083"/>
      <c r="J187" s="1083"/>
      <c r="K187" s="1083"/>
      <c r="L187" s="1083"/>
      <c r="M187" s="1083"/>
      <c r="N187" s="1083"/>
      <c r="O187" s="1083"/>
      <c r="P187" s="1083"/>
      <c r="Q187" s="1083"/>
      <c r="R187" s="1083"/>
      <c r="S187" s="1083"/>
      <c r="T187" s="1083"/>
      <c r="U187" s="1083"/>
    </row>
    <row r="188" spans="1:21" outlineLevel="2">
      <c r="A188" s="1088" t="s">
        <v>1199</v>
      </c>
      <c r="B188" s="1089"/>
      <c r="C188" s="1083"/>
      <c r="D188" s="1083"/>
      <c r="E188" s="1083"/>
      <c r="F188" s="1083"/>
      <c r="G188" s="1083"/>
      <c r="H188" s="1083"/>
      <c r="I188" s="1083"/>
      <c r="J188" s="1083"/>
      <c r="K188" s="1083"/>
      <c r="L188" s="1083"/>
      <c r="M188" s="1083"/>
      <c r="N188" s="1083"/>
      <c r="O188" s="1083"/>
      <c r="P188" s="1083"/>
      <c r="Q188" s="1083"/>
      <c r="R188" s="1083"/>
      <c r="S188" s="1083"/>
      <c r="T188" s="1083"/>
      <c r="U188" s="1083"/>
    </row>
    <row r="189" spans="1:21" ht="15.75" outlineLevel="1">
      <c r="A189" s="1095" t="s">
        <v>1200</v>
      </c>
      <c r="B189" s="1096"/>
      <c r="C189" s="1083"/>
      <c r="D189" s="1083"/>
      <c r="E189" s="1083"/>
      <c r="F189" s="1083"/>
      <c r="G189" s="1083"/>
      <c r="H189" s="1083"/>
      <c r="I189" s="1083"/>
      <c r="J189" s="1083"/>
      <c r="K189" s="1083"/>
      <c r="L189" s="1083"/>
      <c r="M189" s="1083"/>
      <c r="N189" s="1083"/>
      <c r="O189" s="1083"/>
      <c r="P189" s="1083"/>
      <c r="Q189" s="1083"/>
      <c r="R189" s="1083"/>
      <c r="S189" s="1083"/>
      <c r="T189" s="1083"/>
      <c r="U189" s="1083"/>
    </row>
    <row r="190" spans="1:21" outlineLevel="2">
      <c r="A190" s="1088" t="s">
        <v>1201</v>
      </c>
      <c r="B190" s="1089"/>
      <c r="C190" s="1083"/>
      <c r="D190" s="1083"/>
      <c r="E190" s="1083"/>
      <c r="F190" s="1083"/>
      <c r="G190" s="1083"/>
      <c r="H190" s="1083"/>
      <c r="I190" s="1083"/>
      <c r="J190" s="1083"/>
      <c r="K190" s="1083"/>
      <c r="L190" s="1083"/>
      <c r="M190" s="1083"/>
      <c r="N190" s="1083"/>
      <c r="O190" s="1083"/>
      <c r="P190" s="1083"/>
      <c r="Q190" s="1083"/>
      <c r="R190" s="1083"/>
      <c r="S190" s="1083"/>
      <c r="T190" s="1083"/>
      <c r="U190" s="1083"/>
    </row>
    <row r="191" spans="1:21" ht="15.75" outlineLevel="1">
      <c r="A191" s="1095" t="s">
        <v>1202</v>
      </c>
      <c r="B191" s="1096"/>
      <c r="C191" s="1083"/>
      <c r="D191" s="1083"/>
      <c r="E191" s="1083"/>
      <c r="F191" s="1083"/>
      <c r="G191" s="1083"/>
      <c r="H191" s="1083"/>
      <c r="I191" s="1083"/>
      <c r="J191" s="1083"/>
      <c r="K191" s="1083"/>
      <c r="L191" s="1083"/>
      <c r="M191" s="1083"/>
      <c r="N191" s="1083"/>
      <c r="O191" s="1083"/>
      <c r="P191" s="1083"/>
      <c r="Q191" s="1083"/>
      <c r="R191" s="1083"/>
      <c r="S191" s="1083"/>
      <c r="T191" s="1083"/>
      <c r="U191" s="1083"/>
    </row>
    <row r="192" spans="1:21" ht="30" outlineLevel="2">
      <c r="A192" s="1088" t="s">
        <v>1203</v>
      </c>
      <c r="B192" s="1089"/>
      <c r="C192" s="1083"/>
      <c r="D192" s="1083"/>
      <c r="E192" s="1083"/>
      <c r="F192" s="1083"/>
      <c r="G192" s="1083"/>
      <c r="H192" s="1083"/>
      <c r="I192" s="1083"/>
      <c r="J192" s="1083"/>
      <c r="K192" s="1083"/>
      <c r="L192" s="1083"/>
      <c r="M192" s="1083"/>
      <c r="N192" s="1083"/>
      <c r="O192" s="1083"/>
      <c r="P192" s="1083"/>
      <c r="Q192" s="1083"/>
      <c r="R192" s="1083"/>
      <c r="S192" s="1083"/>
      <c r="T192" s="1083"/>
      <c r="U192" s="1083"/>
    </row>
    <row r="193" spans="1:21" ht="15.75" outlineLevel="1">
      <c r="A193" s="1095" t="s">
        <v>1204</v>
      </c>
      <c r="B193" s="1096"/>
      <c r="C193" s="1083"/>
      <c r="D193" s="1083"/>
      <c r="E193" s="1083"/>
      <c r="F193" s="1083"/>
      <c r="G193" s="1083"/>
      <c r="H193" s="1083"/>
      <c r="I193" s="1083"/>
      <c r="J193" s="1083"/>
      <c r="K193" s="1083"/>
      <c r="L193" s="1083"/>
      <c r="M193" s="1083"/>
      <c r="N193" s="1083"/>
      <c r="O193" s="1083"/>
      <c r="P193" s="1083"/>
      <c r="Q193" s="1083"/>
      <c r="R193" s="1083"/>
      <c r="S193" s="1083"/>
      <c r="T193" s="1083"/>
      <c r="U193" s="1083"/>
    </row>
    <row r="194" spans="1:21" outlineLevel="2">
      <c r="A194" s="1088" t="s">
        <v>1205</v>
      </c>
      <c r="B194" s="1089"/>
      <c r="C194" s="1083"/>
      <c r="D194" s="1083"/>
      <c r="E194" s="1083"/>
      <c r="F194" s="1083"/>
      <c r="G194" s="1083"/>
      <c r="H194" s="1083"/>
      <c r="I194" s="1083"/>
      <c r="J194" s="1083"/>
      <c r="K194" s="1083"/>
      <c r="L194" s="1083"/>
      <c r="M194" s="1083"/>
      <c r="N194" s="1083"/>
      <c r="O194" s="1083"/>
      <c r="P194" s="1083"/>
      <c r="Q194" s="1083"/>
      <c r="R194" s="1083"/>
      <c r="S194" s="1083"/>
      <c r="T194" s="1083"/>
      <c r="U194" s="1083"/>
    </row>
    <row r="195" spans="1:21" ht="15.75">
      <c r="A195" s="1084" t="s">
        <v>985</v>
      </c>
      <c r="B195" s="1085"/>
      <c r="C195" s="1083" t="s">
        <v>277</v>
      </c>
      <c r="D195" s="1083"/>
      <c r="E195" s="1083"/>
      <c r="F195" s="1083"/>
      <c r="G195" s="1083"/>
      <c r="H195" s="1083"/>
      <c r="I195" s="1083"/>
      <c r="J195" s="1083"/>
      <c r="K195" s="1083"/>
      <c r="L195" s="1083"/>
      <c r="M195" s="1083"/>
      <c r="N195" s="1083"/>
      <c r="O195" s="1083"/>
      <c r="P195" s="1083"/>
      <c r="Q195" s="1083"/>
      <c r="R195" s="1083"/>
      <c r="S195" s="1083"/>
      <c r="T195" s="1083"/>
      <c r="U195" s="1083"/>
    </row>
    <row r="196" spans="1:21" ht="15.75" outlineLevel="1">
      <c r="A196" s="1095" t="s">
        <v>1206</v>
      </c>
      <c r="B196" s="1096"/>
      <c r="C196" s="1083"/>
      <c r="D196" s="1083"/>
      <c r="E196" s="1083"/>
      <c r="F196" s="1083"/>
      <c r="G196" s="1083"/>
      <c r="H196" s="1083"/>
      <c r="I196" s="1083"/>
      <c r="J196" s="1083"/>
      <c r="K196" s="1083"/>
      <c r="L196" s="1083"/>
      <c r="M196" s="1083"/>
      <c r="N196" s="1083"/>
      <c r="O196" s="1083"/>
      <c r="P196" s="1083"/>
      <c r="Q196" s="1083"/>
      <c r="R196" s="1083"/>
      <c r="S196" s="1083"/>
      <c r="T196" s="1083"/>
      <c r="U196" s="1083"/>
    </row>
    <row r="197" spans="1:21" outlineLevel="2">
      <c r="A197" s="1088" t="s">
        <v>1207</v>
      </c>
      <c r="B197" s="1089"/>
      <c r="C197" s="1083"/>
      <c r="D197" s="1083"/>
      <c r="E197" s="1083"/>
      <c r="F197" s="1083"/>
      <c r="G197" s="1083"/>
      <c r="H197" s="1083"/>
      <c r="I197" s="1083"/>
      <c r="J197" s="1083"/>
      <c r="K197" s="1083"/>
      <c r="L197" s="1083"/>
      <c r="M197" s="1083"/>
      <c r="N197" s="1083"/>
      <c r="O197" s="1083"/>
      <c r="P197" s="1083"/>
      <c r="Q197" s="1083"/>
      <c r="R197" s="1083"/>
      <c r="S197" s="1083"/>
      <c r="T197" s="1083"/>
      <c r="U197" s="1083"/>
    </row>
    <row r="198" spans="1:21" ht="15.75" outlineLevel="1">
      <c r="A198" s="1095" t="s">
        <v>1208</v>
      </c>
      <c r="B198" s="1096"/>
      <c r="C198" s="1083"/>
      <c r="D198" s="1083"/>
      <c r="F198" s="1083"/>
      <c r="G198" s="1083"/>
      <c r="H198" s="1083"/>
      <c r="I198" s="1083"/>
      <c r="J198" s="1083"/>
      <c r="K198" s="1083"/>
      <c r="L198" s="1083"/>
      <c r="M198" s="1083"/>
      <c r="N198" s="1083"/>
      <c r="O198" s="1083"/>
      <c r="P198" s="1083"/>
      <c r="Q198" s="1083"/>
      <c r="R198" s="1083"/>
      <c r="S198" s="1083"/>
      <c r="T198" s="1083"/>
      <c r="U198" s="1083"/>
    </row>
    <row r="199" spans="1:21" outlineLevel="2">
      <c r="A199" s="1088" t="s">
        <v>1209</v>
      </c>
      <c r="B199" s="1089"/>
      <c r="C199" s="1083"/>
      <c r="D199" s="1083"/>
      <c r="E199" s="1083"/>
      <c r="F199" s="1083"/>
      <c r="G199" s="1083"/>
      <c r="H199" s="1083"/>
      <c r="I199" s="1083"/>
      <c r="J199" s="1083"/>
      <c r="K199" s="1083"/>
      <c r="L199" s="1083"/>
      <c r="M199" s="1083"/>
      <c r="N199" s="1083"/>
      <c r="O199" s="1083"/>
      <c r="P199" s="1083"/>
      <c r="Q199" s="1083"/>
      <c r="R199" s="1083"/>
      <c r="S199" s="1083"/>
      <c r="T199" s="1083"/>
      <c r="U199" s="1083"/>
    </row>
    <row r="200" spans="1:21" outlineLevel="2">
      <c r="A200" s="1088" t="s">
        <v>1210</v>
      </c>
      <c r="B200" s="1089"/>
      <c r="C200" s="1083"/>
      <c r="D200" s="1083"/>
      <c r="E200" s="1083"/>
      <c r="F200" s="1083"/>
      <c r="G200" s="1083"/>
      <c r="H200" s="1083"/>
      <c r="I200" s="1083"/>
      <c r="J200" s="1083"/>
      <c r="K200" s="1083"/>
      <c r="L200" s="1083"/>
      <c r="M200" s="1083"/>
      <c r="N200" s="1083"/>
      <c r="O200" s="1083"/>
      <c r="P200" s="1083"/>
      <c r="Q200" s="1083"/>
      <c r="R200" s="1083"/>
      <c r="S200" s="1083"/>
      <c r="T200" s="1083"/>
      <c r="U200" s="1083"/>
    </row>
    <row r="201" spans="1:21" outlineLevel="2">
      <c r="A201" s="1088" t="s">
        <v>1211</v>
      </c>
      <c r="B201" s="1089"/>
      <c r="C201" s="1083"/>
      <c r="D201" s="1083"/>
      <c r="E201" s="1083"/>
      <c r="F201" s="1083"/>
      <c r="G201" s="1083"/>
      <c r="H201" s="1083"/>
      <c r="I201" s="1083"/>
      <c r="J201" s="1083"/>
      <c r="K201" s="1083"/>
      <c r="L201" s="1083"/>
      <c r="M201" s="1083"/>
      <c r="N201" s="1083"/>
      <c r="O201" s="1083"/>
      <c r="P201" s="1083"/>
      <c r="Q201" s="1083"/>
      <c r="R201" s="1083"/>
      <c r="S201" s="1083"/>
      <c r="T201" s="1083"/>
      <c r="U201" s="1083"/>
    </row>
    <row r="202" spans="1:21" ht="15.75" outlineLevel="1">
      <c r="A202" s="1095" t="s">
        <v>1212</v>
      </c>
      <c r="B202" s="1096"/>
      <c r="C202" s="1083"/>
      <c r="D202" s="1083"/>
      <c r="E202" s="1083"/>
      <c r="F202" s="1083"/>
      <c r="G202" s="1083"/>
      <c r="H202" s="1083"/>
      <c r="I202" s="1083"/>
      <c r="J202" s="1083"/>
      <c r="K202" s="1083"/>
      <c r="L202" s="1083"/>
      <c r="M202" s="1083"/>
      <c r="N202" s="1083"/>
      <c r="O202" s="1083"/>
      <c r="P202" s="1083"/>
      <c r="Q202" s="1083"/>
      <c r="R202" s="1083"/>
      <c r="S202" s="1083"/>
      <c r="T202" s="1083"/>
      <c r="U202" s="1083"/>
    </row>
    <row r="203" spans="1:21" outlineLevel="2">
      <c r="A203" s="1088" t="s">
        <v>1213</v>
      </c>
      <c r="B203" s="1089"/>
      <c r="C203" s="1083"/>
      <c r="D203" s="1083"/>
      <c r="E203" s="1083"/>
      <c r="F203" s="1083"/>
      <c r="G203" s="1083"/>
      <c r="H203" s="1083"/>
      <c r="I203" s="1083"/>
      <c r="J203" s="1083"/>
      <c r="K203" s="1083"/>
      <c r="L203" s="1083"/>
      <c r="M203" s="1083"/>
      <c r="N203" s="1083"/>
      <c r="O203" s="1083"/>
      <c r="P203" s="1083"/>
      <c r="Q203" s="1083"/>
      <c r="R203" s="1083"/>
      <c r="S203" s="1083"/>
      <c r="T203" s="1083"/>
      <c r="U203" s="1083"/>
    </row>
    <row r="204" spans="1:21" ht="15.75" outlineLevel="1">
      <c r="A204" s="1095" t="s">
        <v>1214</v>
      </c>
      <c r="B204" s="1096"/>
      <c r="C204" s="1083"/>
      <c r="D204" s="1083"/>
      <c r="E204" s="1083"/>
      <c r="F204" s="1083"/>
      <c r="G204" s="1083"/>
      <c r="H204" s="1083"/>
      <c r="I204" s="1083"/>
      <c r="J204" s="1083"/>
      <c r="K204" s="1083"/>
      <c r="L204" s="1083"/>
      <c r="M204" s="1083"/>
      <c r="N204" s="1083"/>
      <c r="O204" s="1083"/>
      <c r="P204" s="1083"/>
      <c r="Q204" s="1083"/>
      <c r="R204" s="1083"/>
      <c r="S204" s="1083"/>
      <c r="T204" s="1083"/>
      <c r="U204" s="1083"/>
    </row>
    <row r="205" spans="1:21" outlineLevel="2">
      <c r="A205" s="1088" t="s">
        <v>1215</v>
      </c>
      <c r="B205" s="1089"/>
      <c r="C205" s="1083"/>
      <c r="D205" s="1083"/>
      <c r="E205" s="1083"/>
      <c r="F205" s="1083"/>
      <c r="G205" s="1083"/>
      <c r="H205" s="1083"/>
      <c r="I205" s="1083"/>
      <c r="J205" s="1083"/>
      <c r="K205" s="1083"/>
      <c r="L205" s="1083"/>
      <c r="M205" s="1083"/>
      <c r="N205" s="1083"/>
      <c r="O205" s="1083"/>
      <c r="P205" s="1083"/>
      <c r="Q205" s="1083"/>
      <c r="R205" s="1083"/>
      <c r="S205" s="1083"/>
      <c r="T205" s="1083"/>
      <c r="U205" s="1083"/>
    </row>
    <row r="206" spans="1:21" ht="15.75" outlineLevel="1">
      <c r="A206" s="1095" t="s">
        <v>1216</v>
      </c>
      <c r="B206" s="1096"/>
      <c r="C206" s="1083"/>
      <c r="D206" s="1083"/>
      <c r="E206" s="1083"/>
      <c r="F206" s="1083"/>
      <c r="G206" s="1083"/>
      <c r="H206" s="1083"/>
      <c r="I206" s="1083"/>
      <c r="J206" s="1083"/>
      <c r="K206" s="1083"/>
      <c r="L206" s="1083"/>
      <c r="M206" s="1083"/>
      <c r="N206" s="1083"/>
      <c r="O206" s="1083"/>
      <c r="P206" s="1083"/>
      <c r="Q206" s="1083"/>
      <c r="R206" s="1083"/>
      <c r="S206" s="1083"/>
      <c r="T206" s="1083"/>
      <c r="U206" s="1083"/>
    </row>
    <row r="207" spans="1:21" ht="30" outlineLevel="2">
      <c r="A207" s="1091" t="s">
        <v>1217</v>
      </c>
      <c r="B207" s="1089"/>
      <c r="C207" s="1083"/>
      <c r="D207" s="1083"/>
      <c r="E207" s="1083"/>
      <c r="F207" s="1083"/>
      <c r="G207" s="1083"/>
      <c r="H207" s="1083"/>
      <c r="I207" s="1083"/>
      <c r="J207" s="1083"/>
      <c r="K207" s="1083"/>
      <c r="L207" s="1083"/>
      <c r="M207" s="1083"/>
      <c r="N207" s="1083"/>
      <c r="O207" s="1083"/>
      <c r="P207" s="1083"/>
      <c r="Q207" s="1083"/>
      <c r="R207" s="1083"/>
      <c r="S207" s="1083"/>
      <c r="T207" s="1083"/>
      <c r="U207" s="1083"/>
    </row>
    <row r="208" spans="1:21" ht="15.75" outlineLevel="1">
      <c r="A208" s="1095" t="s">
        <v>1218</v>
      </c>
      <c r="B208" s="1096"/>
      <c r="C208" s="1083"/>
      <c r="D208" s="1083"/>
      <c r="E208" s="1083"/>
      <c r="G208" s="1083"/>
      <c r="H208" s="1083"/>
      <c r="I208" s="1083"/>
      <c r="J208" s="1083"/>
      <c r="K208" s="1083"/>
      <c r="L208" s="1083"/>
      <c r="M208" s="1083"/>
      <c r="N208" s="1083"/>
      <c r="O208" s="1083"/>
      <c r="P208" s="1083"/>
      <c r="Q208" s="1083"/>
      <c r="R208" s="1083"/>
      <c r="S208" s="1083"/>
      <c r="T208" s="1083"/>
      <c r="U208" s="1083"/>
    </row>
    <row r="209" spans="1:21" outlineLevel="2">
      <c r="A209" s="1088" t="s">
        <v>1219</v>
      </c>
      <c r="B209" s="1089"/>
      <c r="C209" s="1083"/>
      <c r="D209" s="1083"/>
      <c r="E209" s="1083"/>
      <c r="F209" s="1083"/>
      <c r="G209" s="1083"/>
      <c r="H209" s="1083"/>
      <c r="I209" s="1083"/>
      <c r="J209" s="1083"/>
      <c r="K209" s="1083"/>
      <c r="L209" s="1083"/>
      <c r="M209" s="1083"/>
      <c r="N209" s="1083"/>
      <c r="O209" s="1083"/>
      <c r="P209" s="1083"/>
      <c r="Q209" s="1083"/>
      <c r="R209" s="1083"/>
      <c r="S209" s="1083"/>
      <c r="T209" s="1083"/>
      <c r="U209" s="1083"/>
    </row>
    <row r="210" spans="1:21" outlineLevel="2">
      <c r="A210" s="1088" t="s">
        <v>1220</v>
      </c>
      <c r="B210" s="1089"/>
      <c r="C210" s="1083"/>
      <c r="D210" s="1083"/>
      <c r="E210" s="1083"/>
      <c r="F210" s="1083"/>
      <c r="G210" s="1083"/>
      <c r="H210" s="1083"/>
      <c r="I210" s="1083"/>
      <c r="J210" s="1083"/>
      <c r="K210" s="1083"/>
      <c r="L210" s="1083"/>
      <c r="M210" s="1083"/>
      <c r="N210" s="1083"/>
      <c r="O210" s="1083"/>
      <c r="P210" s="1083"/>
      <c r="Q210" s="1083"/>
      <c r="R210" s="1083"/>
      <c r="S210" s="1083"/>
      <c r="T210" s="1083"/>
      <c r="U210" s="1083"/>
    </row>
    <row r="211" spans="1:21" outlineLevel="2">
      <c r="A211" s="1088" t="s">
        <v>1221</v>
      </c>
      <c r="B211" s="1089"/>
      <c r="C211" s="1083"/>
      <c r="D211" s="1083"/>
      <c r="E211" s="1083"/>
      <c r="F211" s="1083"/>
      <c r="G211" s="1083"/>
      <c r="H211" s="1083"/>
      <c r="I211" s="1083"/>
      <c r="J211" s="1083"/>
      <c r="K211" s="1083"/>
      <c r="L211" s="1083"/>
      <c r="M211" s="1083"/>
      <c r="N211" s="1083"/>
      <c r="O211" s="1083"/>
      <c r="P211" s="1083"/>
      <c r="Q211" s="1083"/>
      <c r="R211" s="1083"/>
      <c r="S211" s="1083"/>
      <c r="T211" s="1083"/>
      <c r="U211" s="1083"/>
    </row>
    <row r="212" spans="1:21" ht="15.75" outlineLevel="1">
      <c r="A212" s="1095"/>
      <c r="B212" s="1096"/>
      <c r="C212" s="1083"/>
      <c r="D212" s="1083"/>
      <c r="E212" s="1083"/>
      <c r="F212" s="1083"/>
      <c r="G212" s="1083"/>
      <c r="H212" s="1083"/>
      <c r="I212" s="1083"/>
      <c r="J212" s="1083"/>
      <c r="K212" s="1083"/>
      <c r="L212" s="1083"/>
      <c r="M212" s="1083"/>
      <c r="N212" s="1083"/>
      <c r="O212" s="1083"/>
      <c r="P212" s="1083"/>
      <c r="Q212" s="1083"/>
      <c r="R212" s="1083"/>
      <c r="S212" s="1083"/>
      <c r="T212" s="1083"/>
      <c r="U212" s="1083"/>
    </row>
    <row r="213" spans="1:21" ht="15.75">
      <c r="A213" s="1084" t="s">
        <v>1222</v>
      </c>
      <c r="B213" s="1085"/>
      <c r="C213" s="1083" t="s">
        <v>277</v>
      </c>
      <c r="D213" s="1083"/>
      <c r="E213" s="1083"/>
      <c r="F213" s="1083"/>
      <c r="G213" s="1083"/>
      <c r="H213" s="1083"/>
      <c r="I213" s="1083"/>
      <c r="J213" s="1083"/>
      <c r="K213" s="1083"/>
      <c r="L213" s="1083"/>
      <c r="M213" s="1083"/>
      <c r="N213" s="1083"/>
      <c r="O213" s="1083"/>
      <c r="P213" s="1083"/>
      <c r="Q213" s="1083"/>
      <c r="R213" s="1083"/>
      <c r="S213" s="1083"/>
      <c r="T213" s="1083"/>
      <c r="U213" s="1083"/>
    </row>
    <row r="214" spans="1:21" ht="15.75" outlineLevel="1">
      <c r="A214" s="1095" t="s">
        <v>1222</v>
      </c>
      <c r="B214" s="1096"/>
      <c r="D214" s="1083"/>
      <c r="E214" s="1083"/>
      <c r="F214" s="1083"/>
      <c r="G214" s="1083"/>
      <c r="H214" s="1083"/>
      <c r="I214" s="1083"/>
      <c r="J214" s="1083"/>
      <c r="K214" s="1083"/>
      <c r="L214" s="1083"/>
      <c r="M214" s="1083"/>
      <c r="N214" s="1083"/>
      <c r="O214" s="1083"/>
      <c r="P214" s="1083"/>
      <c r="Q214" s="1083"/>
      <c r="R214" s="1083"/>
      <c r="S214" s="1083"/>
      <c r="T214" s="1083"/>
      <c r="U214" s="1083"/>
    </row>
    <row r="215" spans="1:21" outlineLevel="2">
      <c r="A215" s="1088" t="s">
        <v>1223</v>
      </c>
      <c r="B215" s="1089"/>
      <c r="C215" s="1083"/>
      <c r="D215" s="1083"/>
      <c r="E215" s="1083"/>
      <c r="F215" s="1083"/>
      <c r="G215" s="1083"/>
      <c r="H215" s="1083"/>
      <c r="I215" s="1083"/>
      <c r="J215" s="1083"/>
      <c r="K215" s="1083"/>
      <c r="L215" s="1083"/>
      <c r="M215" s="1083"/>
      <c r="N215" s="1083"/>
      <c r="O215" s="1083"/>
      <c r="P215" s="1083"/>
      <c r="Q215" s="1083"/>
      <c r="R215" s="1083"/>
      <c r="S215" s="1083"/>
      <c r="T215" s="1083"/>
      <c r="U215" s="1083"/>
    </row>
    <row r="216" spans="1:21" outlineLevel="2">
      <c r="A216" s="1088" t="s">
        <v>1224</v>
      </c>
      <c r="B216" s="1089"/>
      <c r="C216" s="1083"/>
      <c r="D216" s="1083"/>
      <c r="E216" s="1083"/>
      <c r="F216" s="1083"/>
      <c r="G216" s="1083"/>
      <c r="H216" s="1083"/>
      <c r="I216" s="1083"/>
      <c r="J216" s="1083"/>
      <c r="K216" s="1083"/>
      <c r="L216" s="1083"/>
      <c r="M216" s="1083"/>
      <c r="N216" s="1083"/>
      <c r="O216" s="1083"/>
      <c r="P216" s="1083"/>
      <c r="Q216" s="1083"/>
      <c r="R216" s="1083"/>
      <c r="S216" s="1083"/>
      <c r="T216" s="1083"/>
      <c r="U216" s="1083"/>
    </row>
    <row r="217" spans="1:21" ht="15.75" outlineLevel="1">
      <c r="A217" s="1095" t="s">
        <v>1225</v>
      </c>
      <c r="B217" s="1096"/>
      <c r="C217" s="1083"/>
      <c r="E217" s="1083"/>
      <c r="F217" s="1083"/>
      <c r="G217" s="1083"/>
      <c r="H217" s="1083"/>
      <c r="I217" s="1083"/>
      <c r="J217" s="1083"/>
      <c r="K217" s="1083"/>
      <c r="L217" s="1083"/>
      <c r="M217" s="1083"/>
      <c r="N217" s="1083"/>
      <c r="O217" s="1083"/>
      <c r="P217" s="1083"/>
      <c r="Q217" s="1083"/>
      <c r="R217" s="1083"/>
      <c r="S217" s="1083"/>
      <c r="T217" s="1083"/>
      <c r="U217" s="1083"/>
    </row>
    <row r="218" spans="1:21" outlineLevel="2">
      <c r="A218" s="1088" t="s">
        <v>1226</v>
      </c>
      <c r="B218" s="1089"/>
      <c r="C218" s="1083"/>
      <c r="D218" s="1083"/>
      <c r="E218" s="1083"/>
      <c r="F218" s="1083"/>
      <c r="G218" s="1083"/>
      <c r="H218" s="1083"/>
      <c r="I218" s="1083"/>
      <c r="J218" s="1083"/>
      <c r="K218" s="1083"/>
      <c r="L218" s="1083"/>
      <c r="M218" s="1083"/>
      <c r="N218" s="1083"/>
      <c r="O218" s="1083"/>
      <c r="P218" s="1083"/>
      <c r="Q218" s="1083"/>
      <c r="R218" s="1083"/>
      <c r="S218" s="1083"/>
      <c r="T218" s="1083"/>
      <c r="U218" s="1083"/>
    </row>
    <row r="219" spans="1:21" outlineLevel="2">
      <c r="A219" s="1088" t="s">
        <v>1227</v>
      </c>
      <c r="B219" s="1089"/>
      <c r="C219" s="1083"/>
      <c r="D219" s="1083"/>
      <c r="E219" s="1083"/>
      <c r="F219" s="1083"/>
      <c r="G219" s="1083"/>
      <c r="H219" s="1083"/>
      <c r="I219" s="1083"/>
      <c r="J219" s="1083"/>
      <c r="K219" s="1083"/>
      <c r="L219" s="1083"/>
      <c r="M219" s="1083"/>
      <c r="N219" s="1083"/>
      <c r="O219" s="1083"/>
      <c r="P219" s="1083"/>
      <c r="Q219" s="1083"/>
      <c r="R219" s="1083"/>
      <c r="S219" s="1083"/>
      <c r="T219" s="1083"/>
      <c r="U219" s="1083"/>
    </row>
    <row r="220" spans="1:21" ht="15.75">
      <c r="A220" s="1084" t="s">
        <v>995</v>
      </c>
      <c r="B220" s="1085"/>
      <c r="C220" s="1083"/>
      <c r="D220" s="1083"/>
      <c r="E220" s="1083"/>
      <c r="F220" s="1083"/>
      <c r="G220" s="1083"/>
      <c r="H220" s="1083"/>
      <c r="I220" s="1083"/>
      <c r="J220" s="1083"/>
      <c r="K220" s="1083"/>
      <c r="L220" s="1083"/>
      <c r="M220" s="1083"/>
      <c r="N220" s="1083"/>
      <c r="O220" s="1083"/>
      <c r="P220" s="1083"/>
      <c r="Q220" s="1083"/>
      <c r="R220" s="1083"/>
      <c r="S220" s="1083"/>
      <c r="T220" s="1083"/>
      <c r="U220" s="1083"/>
    </row>
    <row r="221" spans="1:21" ht="15.75" outlineLevel="1">
      <c r="A221" s="1095" t="s">
        <v>1228</v>
      </c>
      <c r="B221" s="1096"/>
      <c r="C221" s="1083" t="s">
        <v>341</v>
      </c>
      <c r="D221" s="1083"/>
      <c r="E221" s="1083"/>
      <c r="F221" s="1083"/>
      <c r="G221" s="1083"/>
      <c r="H221" s="1083"/>
      <c r="I221" s="1083"/>
      <c r="J221" s="1083"/>
      <c r="K221" s="1083"/>
      <c r="L221" s="1083"/>
      <c r="M221" s="1083"/>
      <c r="N221" s="1083"/>
      <c r="O221" s="1083"/>
      <c r="P221" s="1083"/>
      <c r="Q221" s="1083"/>
      <c r="R221" s="1083"/>
      <c r="S221" s="1083"/>
      <c r="T221" s="1083"/>
      <c r="U221" s="1083"/>
    </row>
    <row r="222" spans="1:21" outlineLevel="2">
      <c r="A222" s="1088" t="s">
        <v>1229</v>
      </c>
      <c r="B222" s="1089"/>
      <c r="C222" s="1083"/>
      <c r="D222" s="1083"/>
      <c r="E222" s="1083"/>
      <c r="F222" s="1083"/>
      <c r="G222" s="1083"/>
      <c r="H222" s="1083"/>
      <c r="I222" s="1083"/>
      <c r="J222" s="1083"/>
      <c r="K222" s="1083"/>
      <c r="L222" s="1083"/>
      <c r="M222" s="1083"/>
      <c r="N222" s="1083"/>
      <c r="O222" s="1083"/>
      <c r="P222" s="1083"/>
      <c r="Q222" s="1083"/>
      <c r="R222" s="1083"/>
      <c r="S222" s="1083"/>
      <c r="T222" s="1083"/>
      <c r="U222" s="1083"/>
    </row>
    <row r="223" spans="1:21" ht="27" customHeight="1" outlineLevel="1">
      <c r="A223" s="1095" t="s">
        <v>1230</v>
      </c>
      <c r="B223" s="1096"/>
      <c r="C223" s="1083" t="s">
        <v>277</v>
      </c>
      <c r="D223" s="1083"/>
      <c r="E223" s="1083"/>
      <c r="F223" s="1083"/>
      <c r="H223" s="1083"/>
      <c r="I223" s="1083"/>
      <c r="J223" s="1083"/>
      <c r="K223" s="1083"/>
      <c r="L223" s="1083"/>
      <c r="M223" s="1083"/>
      <c r="N223" s="1083"/>
      <c r="O223" s="1083"/>
      <c r="P223" s="1083"/>
      <c r="Q223" s="1083"/>
      <c r="R223" s="1083"/>
      <c r="S223" s="1083"/>
      <c r="T223" s="1083"/>
      <c r="U223" s="1083"/>
    </row>
    <row r="224" spans="1:21" outlineLevel="2">
      <c r="A224" s="1088" t="s">
        <v>1231</v>
      </c>
      <c r="B224" s="1089"/>
      <c r="C224" s="1083"/>
      <c r="D224" s="1083"/>
      <c r="E224" s="1083"/>
      <c r="F224" s="1083"/>
      <c r="G224" s="1083"/>
      <c r="H224" s="1083"/>
      <c r="I224" s="1083"/>
      <c r="J224" s="1083"/>
      <c r="K224" s="1083"/>
      <c r="L224" s="1083"/>
      <c r="M224" s="1083"/>
      <c r="N224" s="1083"/>
      <c r="O224" s="1083"/>
      <c r="P224" s="1083"/>
      <c r="Q224" s="1083"/>
      <c r="R224" s="1083"/>
      <c r="S224" s="1083"/>
      <c r="T224" s="1083"/>
      <c r="U224" s="1083"/>
    </row>
    <row r="225" spans="1:21" ht="30" outlineLevel="2">
      <c r="A225" s="1088" t="s">
        <v>1232</v>
      </c>
      <c r="B225" s="1089"/>
      <c r="C225" s="1083"/>
      <c r="D225" s="1083"/>
      <c r="E225" s="1083"/>
      <c r="F225" s="1083"/>
      <c r="G225" s="1083"/>
      <c r="H225" s="1083"/>
      <c r="I225" s="1083"/>
      <c r="J225" s="1083"/>
      <c r="K225" s="1083"/>
      <c r="L225" s="1083"/>
      <c r="M225" s="1083"/>
      <c r="N225" s="1083"/>
      <c r="O225" s="1083"/>
      <c r="P225" s="1083"/>
      <c r="Q225" s="1083"/>
      <c r="R225" s="1083"/>
      <c r="S225" s="1083"/>
      <c r="T225" s="1083"/>
      <c r="U225" s="1083"/>
    </row>
    <row r="226" spans="1:21" outlineLevel="2">
      <c r="A226" s="1088" t="s">
        <v>1233</v>
      </c>
      <c r="B226" s="1089"/>
      <c r="C226" s="1083"/>
      <c r="D226" s="1083"/>
      <c r="E226" s="1083"/>
      <c r="F226" s="1083"/>
      <c r="G226" s="1083"/>
      <c r="H226" s="1083"/>
      <c r="I226" s="1083"/>
      <c r="J226" s="1083"/>
      <c r="K226" s="1083"/>
      <c r="L226" s="1083"/>
      <c r="M226" s="1083"/>
      <c r="N226" s="1083"/>
      <c r="O226" s="1083"/>
      <c r="P226" s="1083"/>
      <c r="Q226" s="1083"/>
      <c r="R226" s="1083"/>
      <c r="S226" s="1083"/>
      <c r="T226" s="1083"/>
      <c r="U226" s="1083"/>
    </row>
    <row r="227" spans="1:21" ht="45" outlineLevel="2">
      <c r="A227" s="1088" t="s">
        <v>1234</v>
      </c>
      <c r="B227" s="1089"/>
      <c r="C227" s="1083"/>
      <c r="D227" s="1083"/>
      <c r="E227" s="1083"/>
      <c r="F227" s="1083"/>
      <c r="G227" s="1083"/>
      <c r="H227" s="1083"/>
      <c r="I227" s="1083"/>
      <c r="J227" s="1083"/>
      <c r="K227" s="1083"/>
      <c r="L227" s="1083"/>
      <c r="M227" s="1083"/>
      <c r="N227" s="1083"/>
      <c r="O227" s="1083"/>
      <c r="P227" s="1083"/>
      <c r="Q227" s="1083"/>
      <c r="R227" s="1083"/>
      <c r="S227" s="1083"/>
      <c r="T227" s="1083"/>
      <c r="U227" s="1083"/>
    </row>
    <row r="228" spans="1:21" ht="15.75" outlineLevel="1">
      <c r="A228" s="1095" t="s">
        <v>1235</v>
      </c>
      <c r="B228" s="1096"/>
      <c r="C228" s="1083" t="s">
        <v>277</v>
      </c>
      <c r="D228" s="1083"/>
      <c r="E228" s="1083"/>
      <c r="G228" s="1083"/>
      <c r="I228" s="1083"/>
      <c r="J228" s="1083"/>
      <c r="K228" s="1083"/>
      <c r="L228" s="1083"/>
      <c r="M228" s="1083"/>
      <c r="N228" s="1083"/>
      <c r="O228" s="1083"/>
      <c r="P228" s="1083"/>
      <c r="Q228" s="1083"/>
      <c r="R228" s="1083"/>
      <c r="S228" s="1083"/>
      <c r="T228" s="1083"/>
      <c r="U228" s="1083"/>
    </row>
    <row r="229" spans="1:21" outlineLevel="2">
      <c r="A229" s="1088" t="s">
        <v>1236</v>
      </c>
      <c r="B229" s="1089"/>
      <c r="C229" s="1083"/>
      <c r="D229" s="1083"/>
      <c r="E229" s="1083"/>
      <c r="F229" s="1083"/>
      <c r="G229" s="1083"/>
      <c r="H229" s="1083"/>
      <c r="I229" s="1083"/>
      <c r="J229" s="1083"/>
      <c r="K229" s="1083"/>
      <c r="L229" s="1083"/>
      <c r="M229" s="1083"/>
      <c r="N229" s="1083"/>
      <c r="O229" s="1083"/>
      <c r="P229" s="1083"/>
      <c r="Q229" s="1083"/>
      <c r="R229" s="1083"/>
      <c r="S229" s="1083"/>
      <c r="T229" s="1083"/>
      <c r="U229" s="1083"/>
    </row>
    <row r="230" spans="1:21" outlineLevel="2">
      <c r="A230" s="1088" t="s">
        <v>1237</v>
      </c>
      <c r="B230" s="1089"/>
      <c r="C230" s="1083"/>
      <c r="D230" s="1083"/>
      <c r="E230" s="1083"/>
      <c r="F230" s="1083"/>
      <c r="G230" s="1083"/>
      <c r="H230" s="1083"/>
      <c r="I230" s="1083"/>
      <c r="J230" s="1083"/>
      <c r="K230" s="1083"/>
      <c r="L230" s="1083"/>
      <c r="M230" s="1083"/>
      <c r="N230" s="1083"/>
      <c r="O230" s="1083"/>
      <c r="P230" s="1083"/>
      <c r="Q230" s="1083"/>
      <c r="R230" s="1083"/>
      <c r="S230" s="1083"/>
      <c r="T230" s="1083"/>
      <c r="U230" s="1083"/>
    </row>
    <row r="231" spans="1:21" outlineLevel="2">
      <c r="A231" s="1088" t="s">
        <v>1238</v>
      </c>
      <c r="B231" s="1089"/>
      <c r="C231" s="1083"/>
      <c r="D231" s="1083"/>
      <c r="E231" s="1083"/>
      <c r="F231" s="1083"/>
      <c r="G231" s="1083"/>
      <c r="H231" s="1083"/>
      <c r="I231" s="1083"/>
      <c r="J231" s="1083"/>
      <c r="K231" s="1083"/>
      <c r="L231" s="1083"/>
      <c r="M231" s="1083"/>
      <c r="N231" s="1083"/>
      <c r="O231" s="1083"/>
      <c r="P231" s="1083"/>
      <c r="Q231" s="1083"/>
      <c r="R231" s="1083"/>
      <c r="S231" s="1083"/>
      <c r="T231" s="1083"/>
      <c r="U231" s="1083"/>
    </row>
    <row r="232" spans="1:21" outlineLevel="2">
      <c r="A232" s="1088" t="s">
        <v>1239</v>
      </c>
      <c r="B232" s="1089"/>
      <c r="C232" s="1083"/>
      <c r="D232" s="1083"/>
      <c r="E232" s="1083"/>
      <c r="F232" s="1083"/>
      <c r="G232" s="1083"/>
      <c r="H232" s="1083"/>
      <c r="I232" s="1083"/>
      <c r="J232" s="1083"/>
      <c r="K232" s="1083"/>
      <c r="L232" s="1083"/>
      <c r="M232" s="1083"/>
      <c r="N232" s="1083"/>
      <c r="O232" s="1083"/>
      <c r="P232" s="1083"/>
      <c r="Q232" s="1083"/>
      <c r="R232" s="1083"/>
      <c r="S232" s="1083"/>
      <c r="T232" s="1083"/>
      <c r="U232" s="1083"/>
    </row>
    <row r="233" spans="1:21" ht="15.75" outlineLevel="1">
      <c r="A233" s="1095" t="s">
        <v>1240</v>
      </c>
      <c r="B233" s="1096"/>
      <c r="C233" s="1083" t="s">
        <v>341</v>
      </c>
      <c r="D233" s="1083"/>
      <c r="E233" s="1083"/>
      <c r="G233" s="1083"/>
      <c r="I233" s="1083"/>
      <c r="J233" s="1083"/>
      <c r="K233" s="1083"/>
      <c r="L233" s="1083"/>
      <c r="M233" s="1083"/>
      <c r="N233" s="1083"/>
      <c r="O233" s="1083"/>
      <c r="P233" s="1083"/>
      <c r="Q233" s="1083"/>
      <c r="R233" s="1083"/>
      <c r="S233" s="1083"/>
      <c r="T233" s="1083"/>
      <c r="U233" s="1083"/>
    </row>
    <row r="234" spans="1:21" outlineLevel="2">
      <c r="A234" s="1088" t="s">
        <v>1241</v>
      </c>
      <c r="B234" s="1089"/>
      <c r="C234" s="1083"/>
      <c r="D234" s="1083"/>
      <c r="E234" s="1083"/>
      <c r="F234" s="1083"/>
      <c r="G234" s="1083"/>
      <c r="H234" s="1083"/>
      <c r="I234" s="1083"/>
      <c r="J234" s="1083"/>
      <c r="K234" s="1083"/>
      <c r="L234" s="1083"/>
      <c r="M234" s="1083"/>
      <c r="N234" s="1083"/>
      <c r="O234" s="1083"/>
      <c r="P234" s="1083"/>
      <c r="Q234" s="1083"/>
      <c r="R234" s="1083"/>
      <c r="S234" s="1083"/>
      <c r="T234" s="1083"/>
      <c r="U234" s="1083"/>
    </row>
    <row r="235" spans="1:21" outlineLevel="2">
      <c r="A235" s="1088" t="s">
        <v>1242</v>
      </c>
      <c r="B235" s="1089"/>
      <c r="C235" s="1083"/>
      <c r="D235" s="1083"/>
      <c r="E235" s="1083"/>
      <c r="F235" s="1083"/>
      <c r="G235" s="1083"/>
      <c r="H235" s="1083"/>
      <c r="I235" s="1083"/>
      <c r="J235" s="1083"/>
      <c r="K235" s="1083"/>
      <c r="L235" s="1083"/>
      <c r="M235" s="1083"/>
      <c r="N235" s="1083"/>
      <c r="O235" s="1083"/>
      <c r="P235" s="1083"/>
      <c r="Q235" s="1083"/>
      <c r="R235" s="1083"/>
      <c r="S235" s="1083"/>
      <c r="T235" s="1083"/>
      <c r="U235" s="1083"/>
    </row>
    <row r="236" spans="1:21" outlineLevel="2">
      <c r="A236" s="1088" t="s">
        <v>1243</v>
      </c>
      <c r="B236" s="1089"/>
      <c r="C236" s="1083"/>
      <c r="D236" s="1083"/>
      <c r="E236" s="1083"/>
      <c r="F236" s="1083"/>
      <c r="G236" s="1083"/>
      <c r="H236" s="1083"/>
      <c r="I236" s="1083"/>
      <c r="J236" s="1083"/>
      <c r="K236" s="1083"/>
      <c r="L236" s="1083"/>
      <c r="M236" s="1083"/>
      <c r="N236" s="1083"/>
      <c r="O236" s="1083"/>
      <c r="P236" s="1083"/>
      <c r="Q236" s="1083"/>
      <c r="R236" s="1083"/>
      <c r="S236" s="1083"/>
      <c r="T236" s="1083"/>
      <c r="U236" s="1083"/>
    </row>
    <row r="237" spans="1:21" outlineLevel="2">
      <c r="A237" s="1088" t="s">
        <v>1244</v>
      </c>
      <c r="B237" s="1089"/>
      <c r="C237" s="1083"/>
      <c r="D237" s="1083"/>
      <c r="E237" s="1083"/>
      <c r="F237" s="1083"/>
      <c r="G237" s="1083"/>
      <c r="H237" s="1083"/>
      <c r="I237" s="1083"/>
      <c r="J237" s="1083"/>
      <c r="K237" s="1083"/>
      <c r="L237" s="1083"/>
      <c r="M237" s="1083"/>
      <c r="N237" s="1083"/>
      <c r="O237" s="1083"/>
      <c r="P237" s="1083"/>
      <c r="Q237" s="1083"/>
      <c r="R237" s="1083"/>
      <c r="S237" s="1083"/>
      <c r="T237" s="1083"/>
      <c r="U237" s="1083"/>
    </row>
    <row r="238" spans="1:21" ht="15.75" outlineLevel="1">
      <c r="A238" s="1095" t="s">
        <v>1245</v>
      </c>
      <c r="B238" s="1096"/>
      <c r="C238" s="1083" t="s">
        <v>277</v>
      </c>
      <c r="D238" s="1083"/>
      <c r="E238" s="1083"/>
      <c r="F238" s="1083"/>
      <c r="G238" s="1083"/>
      <c r="H238" s="1083"/>
      <c r="I238" s="1083"/>
      <c r="J238" s="1083"/>
      <c r="K238" s="1083"/>
      <c r="L238" s="1083"/>
      <c r="M238" s="1083"/>
      <c r="N238" s="1083"/>
      <c r="O238" s="1083"/>
      <c r="P238" s="1083"/>
      <c r="Q238" s="1083"/>
      <c r="R238" s="1083"/>
      <c r="S238" s="1083"/>
      <c r="T238" s="1083"/>
      <c r="U238" s="1083"/>
    </row>
    <row r="239" spans="1:21" outlineLevel="2">
      <c r="A239" s="1088" t="s">
        <v>1246</v>
      </c>
      <c r="B239" s="1089"/>
      <c r="C239" s="1083"/>
      <c r="D239" s="1083"/>
      <c r="E239" s="1083"/>
      <c r="F239" s="1083"/>
      <c r="G239" s="1083"/>
      <c r="H239" s="1083"/>
      <c r="I239" s="1083"/>
      <c r="J239" s="1083"/>
      <c r="K239" s="1083"/>
      <c r="L239" s="1083"/>
      <c r="M239" s="1083"/>
      <c r="N239" s="1083"/>
      <c r="O239" s="1083"/>
      <c r="P239" s="1083"/>
      <c r="Q239" s="1083"/>
      <c r="R239" s="1083"/>
      <c r="S239" s="1083"/>
      <c r="T239" s="1083"/>
      <c r="U239" s="1083"/>
    </row>
    <row r="240" spans="1:21" ht="15.75" outlineLevel="1">
      <c r="A240" s="1095" t="s">
        <v>1247</v>
      </c>
      <c r="B240" s="1096"/>
      <c r="C240" s="1083" t="s">
        <v>341</v>
      </c>
      <c r="D240" s="1083"/>
      <c r="E240" s="1083"/>
      <c r="F240" s="1083"/>
      <c r="G240" s="1083"/>
      <c r="H240" s="1083"/>
      <c r="I240" s="1083"/>
      <c r="J240" s="1083"/>
      <c r="K240" s="1083"/>
      <c r="L240" s="1083"/>
      <c r="M240" s="1083"/>
      <c r="N240" s="1083"/>
      <c r="O240" s="1083"/>
      <c r="P240" s="1083"/>
      <c r="Q240" s="1083"/>
      <c r="R240" s="1083"/>
      <c r="S240" s="1083"/>
      <c r="T240" s="1083"/>
      <c r="U240" s="1083"/>
    </row>
    <row r="241" spans="1:21" outlineLevel="2">
      <c r="A241" s="1088" t="s">
        <v>1248</v>
      </c>
      <c r="B241" s="1089"/>
      <c r="C241" s="1083"/>
      <c r="D241" s="1083"/>
      <c r="E241" s="1083"/>
      <c r="F241" s="1083"/>
      <c r="G241" s="1083"/>
      <c r="H241" s="1083"/>
      <c r="I241" s="1083"/>
      <c r="J241" s="1083"/>
      <c r="K241" s="1083"/>
      <c r="L241" s="1083"/>
      <c r="M241" s="1083"/>
      <c r="N241" s="1083"/>
      <c r="O241" s="1083"/>
      <c r="P241" s="1083"/>
      <c r="Q241" s="1083"/>
      <c r="R241" s="1083"/>
      <c r="S241" s="1083"/>
      <c r="T241" s="1083"/>
      <c r="U241" s="1083"/>
    </row>
    <row r="242" spans="1:21">
      <c r="A242" s="1094"/>
      <c r="B242" s="1083"/>
      <c r="C242" s="1083"/>
      <c r="D242" s="1083"/>
      <c r="E242" s="1083"/>
      <c r="F242" s="1083"/>
      <c r="G242" s="1083"/>
      <c r="H242" s="1083"/>
      <c r="I242" s="1083"/>
      <c r="J242" s="1083"/>
      <c r="K242" s="1083"/>
      <c r="L242" s="1083"/>
      <c r="M242" s="1083"/>
      <c r="N242" s="1083"/>
      <c r="O242" s="1083"/>
      <c r="P242" s="1083"/>
      <c r="Q242" s="1083"/>
      <c r="R242" s="1083"/>
      <c r="S242" s="1083"/>
      <c r="T242" s="1083"/>
      <c r="U242" s="1083"/>
    </row>
    <row r="243" spans="1:21">
      <c r="A243" s="1094"/>
      <c r="B243" s="1083"/>
      <c r="C243" s="1083"/>
      <c r="D243" s="1083"/>
      <c r="E243" s="1083"/>
      <c r="F243" s="1083"/>
      <c r="G243" s="1083"/>
      <c r="H243" s="1083"/>
      <c r="I243" s="1083"/>
      <c r="J243" s="1083"/>
      <c r="K243" s="1083"/>
      <c r="L243" s="1083"/>
      <c r="M243" s="1083"/>
      <c r="N243" s="1083"/>
      <c r="O243" s="1083"/>
      <c r="P243" s="1083"/>
      <c r="Q243" s="1083"/>
      <c r="R243" s="1083"/>
      <c r="S243" s="1083"/>
      <c r="T243" s="1083"/>
      <c r="U243" s="1083"/>
    </row>
    <row r="244" spans="1:21">
      <c r="A244" s="1094"/>
      <c r="B244" s="1083"/>
      <c r="C244" s="1083"/>
      <c r="D244" s="1083"/>
      <c r="E244" s="1083"/>
      <c r="F244" s="1083"/>
      <c r="G244" s="1083"/>
      <c r="H244" s="1083"/>
      <c r="I244" s="1083"/>
      <c r="J244" s="1083"/>
      <c r="K244" s="1083"/>
      <c r="L244" s="1083"/>
      <c r="M244" s="1083"/>
      <c r="N244" s="1083"/>
      <c r="O244" s="1083"/>
      <c r="P244" s="1083"/>
      <c r="Q244" s="1083"/>
      <c r="R244" s="1083"/>
      <c r="S244" s="1083"/>
      <c r="T244" s="1083"/>
      <c r="U244" s="1083"/>
    </row>
    <row r="245" spans="1:21">
      <c r="A245" s="1094"/>
      <c r="B245" s="1083"/>
      <c r="C245" s="1083"/>
      <c r="D245" s="1083"/>
      <c r="E245" s="1083"/>
      <c r="F245" s="1083"/>
      <c r="G245" s="1083"/>
      <c r="H245" s="1083"/>
      <c r="I245" s="1083"/>
      <c r="J245" s="1083"/>
      <c r="K245" s="1083"/>
      <c r="L245" s="1083"/>
      <c r="M245" s="1083"/>
      <c r="N245" s="1083"/>
      <c r="O245" s="1083"/>
      <c r="P245" s="1083"/>
      <c r="Q245" s="1083"/>
      <c r="R245" s="1083"/>
      <c r="S245" s="1083"/>
      <c r="T245" s="1083"/>
      <c r="U245" s="1083"/>
    </row>
    <row r="246" spans="1:21">
      <c r="A246" s="1094"/>
      <c r="B246" s="1083"/>
      <c r="C246" s="1083"/>
      <c r="D246" s="1083"/>
      <c r="E246" s="1083"/>
      <c r="F246" s="1083"/>
      <c r="G246" s="1083"/>
      <c r="H246" s="1083"/>
      <c r="I246" s="1083"/>
      <c r="J246" s="1083"/>
      <c r="K246" s="1083"/>
      <c r="L246" s="1083"/>
      <c r="M246" s="1083"/>
      <c r="N246" s="1083"/>
      <c r="O246" s="1083"/>
      <c r="P246" s="1083"/>
      <c r="Q246" s="1083"/>
      <c r="R246" s="1083"/>
      <c r="S246" s="1083"/>
      <c r="T246" s="1083"/>
      <c r="U246" s="1083"/>
    </row>
    <row r="247" spans="1:21">
      <c r="A247" s="1094"/>
      <c r="B247" s="1083"/>
      <c r="C247" s="1083"/>
      <c r="D247" s="1083"/>
      <c r="E247" s="1083"/>
      <c r="F247" s="1083"/>
      <c r="G247" s="1083"/>
      <c r="H247" s="1083"/>
      <c r="I247" s="1083"/>
      <c r="J247" s="1083"/>
      <c r="K247" s="1083"/>
      <c r="L247" s="1083"/>
      <c r="M247" s="1083"/>
      <c r="N247" s="1083"/>
      <c r="O247" s="1083"/>
      <c r="P247" s="1083"/>
      <c r="Q247" s="1083"/>
      <c r="R247" s="1083"/>
      <c r="S247" s="1083"/>
      <c r="T247" s="1083"/>
      <c r="U247" s="1083"/>
    </row>
    <row r="248" spans="1:21">
      <c r="A248" s="1094"/>
      <c r="B248" s="1083"/>
      <c r="C248" s="1083"/>
      <c r="D248" s="1083"/>
      <c r="E248" s="1083"/>
      <c r="F248" s="1083"/>
      <c r="G248" s="1083"/>
      <c r="H248" s="1083"/>
      <c r="I248" s="1083"/>
      <c r="J248" s="1083"/>
      <c r="K248" s="1083"/>
      <c r="L248" s="1083"/>
      <c r="M248" s="1083"/>
      <c r="N248" s="1083"/>
      <c r="O248" s="1083"/>
      <c r="P248" s="1083"/>
      <c r="Q248" s="1083"/>
      <c r="R248" s="1083"/>
      <c r="S248" s="1083"/>
      <c r="T248" s="1083"/>
      <c r="U248" s="1083"/>
    </row>
    <row r="249" spans="1:21">
      <c r="A249" s="1094"/>
      <c r="B249" s="1083"/>
      <c r="C249" s="1083"/>
      <c r="D249" s="1083"/>
      <c r="E249" s="1083"/>
      <c r="F249" s="1083"/>
      <c r="G249" s="1083"/>
      <c r="H249" s="1083"/>
      <c r="I249" s="1083"/>
      <c r="J249" s="1083"/>
      <c r="K249" s="1083"/>
      <c r="L249" s="1083"/>
      <c r="M249" s="1083"/>
      <c r="N249" s="1083"/>
      <c r="O249" s="1083"/>
      <c r="P249" s="1083"/>
      <c r="Q249" s="1083"/>
      <c r="R249" s="1083"/>
      <c r="S249" s="1083"/>
      <c r="T249" s="1083"/>
      <c r="U249" s="1083"/>
    </row>
    <row r="250" spans="1:21">
      <c r="A250" s="1094"/>
      <c r="B250" s="1083"/>
      <c r="C250" s="1083"/>
      <c r="D250" s="1083"/>
      <c r="E250" s="1083"/>
      <c r="F250" s="1083"/>
      <c r="G250" s="1083"/>
      <c r="H250" s="1083"/>
      <c r="I250" s="1083"/>
      <c r="J250" s="1083"/>
      <c r="K250" s="1083"/>
      <c r="L250" s="1083"/>
      <c r="M250" s="1083"/>
      <c r="N250" s="1083"/>
      <c r="O250" s="1083"/>
      <c r="P250" s="1083"/>
      <c r="Q250" s="1083"/>
      <c r="R250" s="1083"/>
      <c r="S250" s="1083"/>
      <c r="T250" s="1083"/>
      <c r="U250" s="1083"/>
    </row>
    <row r="251" spans="1:21">
      <c r="A251" s="1094"/>
      <c r="B251" s="1083"/>
      <c r="C251" s="1083"/>
      <c r="D251" s="1083"/>
      <c r="E251" s="1083"/>
      <c r="F251" s="1083"/>
      <c r="G251" s="1083"/>
      <c r="H251" s="1083"/>
      <c r="I251" s="1083"/>
      <c r="J251" s="1083"/>
      <c r="K251" s="1083"/>
      <c r="L251" s="1083"/>
      <c r="M251" s="1083"/>
      <c r="N251" s="1083"/>
      <c r="O251" s="1083"/>
      <c r="P251" s="1083"/>
      <c r="Q251" s="1083"/>
      <c r="R251" s="1083"/>
      <c r="S251" s="1083"/>
      <c r="T251" s="1083"/>
      <c r="U251" s="1083"/>
    </row>
    <row r="252" spans="1:21">
      <c r="A252" s="1094"/>
      <c r="B252" s="1083"/>
      <c r="C252" s="1083"/>
      <c r="D252" s="1083"/>
      <c r="E252" s="1083"/>
      <c r="F252" s="1083"/>
      <c r="G252" s="1083"/>
      <c r="H252" s="1083"/>
      <c r="I252" s="1083"/>
      <c r="J252" s="1083"/>
      <c r="K252" s="1083"/>
      <c r="L252" s="1083"/>
      <c r="M252" s="1083"/>
      <c r="N252" s="1083"/>
      <c r="O252" s="1083"/>
      <c r="P252" s="1083"/>
      <c r="Q252" s="1083"/>
      <c r="R252" s="1083"/>
      <c r="S252" s="1083"/>
      <c r="T252" s="1083"/>
      <c r="U252" s="1083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/>
  <dimension ref="A1:D19"/>
  <sheetViews>
    <sheetView workbookViewId="0">
      <selection activeCell="D22" sqref="D22"/>
    </sheetView>
  </sheetViews>
  <sheetFormatPr baseColWidth="10" defaultRowHeight="15"/>
  <cols>
    <col min="1" max="1" width="41.5703125" bestFit="1" customWidth="1"/>
  </cols>
  <sheetData>
    <row r="1" spans="1:4">
      <c r="B1" t="s">
        <v>874</v>
      </c>
      <c r="C1" t="s">
        <v>875</v>
      </c>
    </row>
    <row r="2" spans="1:4">
      <c r="A2" t="s">
        <v>870</v>
      </c>
    </row>
    <row r="3" spans="1:4">
      <c r="A3" t="s">
        <v>871</v>
      </c>
    </row>
    <row r="4" spans="1:4">
      <c r="A4" t="s">
        <v>872</v>
      </c>
    </row>
    <row r="5" spans="1:4">
      <c r="A5" t="s">
        <v>873</v>
      </c>
    </row>
    <row r="7" spans="1:4">
      <c r="B7" t="s">
        <v>884</v>
      </c>
      <c r="C7" t="s">
        <v>885</v>
      </c>
      <c r="D7" t="s">
        <v>886</v>
      </c>
    </row>
    <row r="8" spans="1:4">
      <c r="A8" t="s">
        <v>874</v>
      </c>
    </row>
    <row r="9" spans="1:4">
      <c r="A9" t="s">
        <v>875</v>
      </c>
    </row>
    <row r="10" spans="1:4">
      <c r="A10" t="s">
        <v>876</v>
      </c>
    </row>
    <row r="11" spans="1:4">
      <c r="A11" t="s">
        <v>877</v>
      </c>
    </row>
    <row r="12" spans="1:4">
      <c r="A12" t="s">
        <v>878</v>
      </c>
    </row>
    <row r="13" spans="1:4">
      <c r="A13" t="s">
        <v>879</v>
      </c>
    </row>
    <row r="14" spans="1:4">
      <c r="A14" t="s">
        <v>880</v>
      </c>
    </row>
    <row r="15" spans="1:4">
      <c r="A15" t="s">
        <v>881</v>
      </c>
    </row>
    <row r="16" spans="1:4">
      <c r="A16" t="s">
        <v>882</v>
      </c>
    </row>
    <row r="17" spans="1:1">
      <c r="A17" t="s">
        <v>883</v>
      </c>
    </row>
    <row r="19" spans="1:1">
      <c r="A19" t="s">
        <v>887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/>
  <dimension ref="A1"/>
  <sheetViews>
    <sheetView workbookViewId="0">
      <selection activeCell="H18" sqref="H18"/>
    </sheetView>
  </sheetViews>
  <sheetFormatPr baseColWidth="10" defaultRowHeight="15"/>
  <sheetData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/>
  <dimension ref="A1"/>
  <sheetViews>
    <sheetView workbookViewId="0">
      <selection activeCell="H18" sqref="H18"/>
    </sheetView>
  </sheetViews>
  <sheetFormatPr baseColWidth="10"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4" tint="0.59999389629810485"/>
    <pageSetUpPr fitToPage="1"/>
  </sheetPr>
  <dimension ref="A1:AV54"/>
  <sheetViews>
    <sheetView zoomScaleNormal="100" workbookViewId="0">
      <pane ySplit="1" topLeftCell="A11" activePane="bottomLeft" state="frozen"/>
      <selection pane="bottomLeft" activeCell="J38" sqref="J38"/>
    </sheetView>
  </sheetViews>
  <sheetFormatPr baseColWidth="10" defaultColWidth="11.42578125" defaultRowHeight="18.75" outlineLevelRow="1" outlineLevelCol="1"/>
  <cols>
    <col min="1" max="1" width="4.140625" style="287" customWidth="1"/>
    <col min="2" max="2" width="43.140625" style="287" customWidth="1"/>
    <col min="3" max="3" width="36.28515625" style="287" customWidth="1"/>
    <col min="4" max="4" width="18.28515625" style="287" customWidth="1"/>
    <col min="5" max="5" width="15.85546875" style="287" customWidth="1"/>
    <col min="6" max="6" width="15.28515625" style="287" customWidth="1"/>
    <col min="7" max="7" width="12.85546875" style="287" customWidth="1" outlineLevel="1"/>
    <col min="8" max="42" width="11.42578125" style="287" customWidth="1" outlineLevel="1"/>
    <col min="43" max="16384" width="11.42578125" style="287"/>
  </cols>
  <sheetData>
    <row r="1" spans="1:44" ht="19.5" thickBot="1">
      <c r="A1" s="286"/>
      <c r="B1" s="286" t="s">
        <v>46</v>
      </c>
      <c r="C1" s="286"/>
      <c r="D1" s="286"/>
      <c r="E1" s="286"/>
      <c r="F1" s="286"/>
      <c r="G1" s="287">
        <f>YEAR(G3)</f>
        <v>2021</v>
      </c>
      <c r="J1" s="287" t="s">
        <v>46</v>
      </c>
      <c r="R1" s="287">
        <f>YEAR(R3)</f>
        <v>2021</v>
      </c>
      <c r="S1" s="287">
        <f>YEAR(S3)</f>
        <v>2022</v>
      </c>
      <c r="AD1" s="287">
        <f>YEAR(AD3)</f>
        <v>2022</v>
      </c>
      <c r="AE1" s="287">
        <f>YEAR(AE3)</f>
        <v>2023</v>
      </c>
      <c r="AP1" s="287">
        <f>YEAR(AP3)</f>
        <v>2023</v>
      </c>
    </row>
    <row r="2" spans="1:44" ht="21" customHeight="1" thickBot="1">
      <c r="A2" s="286"/>
      <c r="B2" s="1220" t="s">
        <v>67</v>
      </c>
      <c r="C2" s="1220"/>
      <c r="D2" s="1220"/>
      <c r="E2" s="1220"/>
      <c r="F2" s="1220"/>
      <c r="G2" s="1225" t="s">
        <v>135</v>
      </c>
      <c r="H2" s="1226"/>
      <c r="I2" s="1226"/>
      <c r="J2" s="1226"/>
      <c r="K2" s="1226"/>
      <c r="L2" s="1226"/>
      <c r="M2" s="1226"/>
      <c r="N2" s="1226"/>
      <c r="O2" s="1226"/>
      <c r="P2" s="1226"/>
      <c r="Q2" s="1226"/>
      <c r="R2" s="1227"/>
      <c r="S2" s="1228" t="s">
        <v>136</v>
      </c>
      <c r="T2" s="1229"/>
      <c r="U2" s="1229"/>
      <c r="V2" s="1229"/>
      <c r="W2" s="1229"/>
      <c r="X2" s="1229"/>
      <c r="Y2" s="1229"/>
      <c r="Z2" s="1229"/>
      <c r="AA2" s="1229"/>
      <c r="AB2" s="1229"/>
      <c r="AC2" s="1229"/>
      <c r="AD2" s="1230"/>
      <c r="AE2" s="1225" t="s">
        <v>137</v>
      </c>
      <c r="AF2" s="1226"/>
      <c r="AG2" s="1226"/>
      <c r="AH2" s="1226"/>
      <c r="AI2" s="1226"/>
      <c r="AJ2" s="1226"/>
      <c r="AK2" s="1226"/>
      <c r="AL2" s="1226"/>
      <c r="AM2" s="1226"/>
      <c r="AN2" s="1226"/>
      <c r="AO2" s="1226"/>
      <c r="AP2" s="1227"/>
      <c r="AR2" s="287" t="s">
        <v>46</v>
      </c>
    </row>
    <row r="3" spans="1:44" ht="68.25">
      <c r="A3" s="286"/>
      <c r="B3" s="288" t="s">
        <v>20</v>
      </c>
      <c r="C3" s="288" t="s">
        <v>2</v>
      </c>
      <c r="D3" s="288" t="s">
        <v>22</v>
      </c>
      <c r="E3" s="288" t="s">
        <v>23</v>
      </c>
      <c r="F3" s="818" t="s">
        <v>134</v>
      </c>
      <c r="G3" s="806">
        <f>+Cuestionario!$C$11</f>
        <v>44197</v>
      </c>
      <c r="H3" s="806">
        <f>EDATE(G3,1)</f>
        <v>44228</v>
      </c>
      <c r="I3" s="806">
        <f t="shared" ref="I3:R3" si="0">EDATE(H3,1)</f>
        <v>44256</v>
      </c>
      <c r="J3" s="806">
        <f t="shared" si="0"/>
        <v>44287</v>
      </c>
      <c r="K3" s="806">
        <f t="shared" si="0"/>
        <v>44317</v>
      </c>
      <c r="L3" s="806">
        <f t="shared" si="0"/>
        <v>44348</v>
      </c>
      <c r="M3" s="806">
        <f t="shared" si="0"/>
        <v>44378</v>
      </c>
      <c r="N3" s="806">
        <f t="shared" si="0"/>
        <v>44409</v>
      </c>
      <c r="O3" s="806">
        <f t="shared" si="0"/>
        <v>44440</v>
      </c>
      <c r="P3" s="806">
        <f t="shared" si="0"/>
        <v>44470</v>
      </c>
      <c r="Q3" s="806">
        <f t="shared" si="0"/>
        <v>44501</v>
      </c>
      <c r="R3" s="806">
        <f t="shared" si="0"/>
        <v>44531</v>
      </c>
      <c r="S3" s="807">
        <f t="shared" ref="S3" si="1">EDATE(R3,1)</f>
        <v>44562</v>
      </c>
      <c r="T3" s="807">
        <f t="shared" ref="T3" si="2">EDATE(S3,1)</f>
        <v>44593</v>
      </c>
      <c r="U3" s="807">
        <f t="shared" ref="U3" si="3">EDATE(T3,1)</f>
        <v>44621</v>
      </c>
      <c r="V3" s="807">
        <f t="shared" ref="V3" si="4">EDATE(U3,1)</f>
        <v>44652</v>
      </c>
      <c r="W3" s="807">
        <f t="shared" ref="W3" si="5">EDATE(V3,1)</f>
        <v>44682</v>
      </c>
      <c r="X3" s="807">
        <f t="shared" ref="X3" si="6">EDATE(W3,1)</f>
        <v>44713</v>
      </c>
      <c r="Y3" s="807">
        <f t="shared" ref="Y3" si="7">EDATE(X3,1)</f>
        <v>44743</v>
      </c>
      <c r="Z3" s="807">
        <f t="shared" ref="Z3" si="8">EDATE(Y3,1)</f>
        <v>44774</v>
      </c>
      <c r="AA3" s="807">
        <f t="shared" ref="AA3" si="9">EDATE(Z3,1)</f>
        <v>44805</v>
      </c>
      <c r="AB3" s="807">
        <f t="shared" ref="AB3" si="10">EDATE(AA3,1)</f>
        <v>44835</v>
      </c>
      <c r="AC3" s="807">
        <f t="shared" ref="AC3" si="11">EDATE(AB3,1)</f>
        <v>44866</v>
      </c>
      <c r="AD3" s="807">
        <f t="shared" ref="AD3" si="12">EDATE(AC3,1)</f>
        <v>44896</v>
      </c>
      <c r="AE3" s="806">
        <f t="shared" ref="AE3" si="13">EDATE(AD3,1)</f>
        <v>44927</v>
      </c>
      <c r="AF3" s="806">
        <f t="shared" ref="AF3" si="14">EDATE(AE3,1)</f>
        <v>44958</v>
      </c>
      <c r="AG3" s="806">
        <f t="shared" ref="AG3" si="15">EDATE(AF3,1)</f>
        <v>44986</v>
      </c>
      <c r="AH3" s="806">
        <f t="shared" ref="AH3" si="16">EDATE(AG3,1)</f>
        <v>45017</v>
      </c>
      <c r="AI3" s="806">
        <f t="shared" ref="AI3" si="17">EDATE(AH3,1)</f>
        <v>45047</v>
      </c>
      <c r="AJ3" s="806">
        <f t="shared" ref="AJ3" si="18">EDATE(AI3,1)</f>
        <v>45078</v>
      </c>
      <c r="AK3" s="806">
        <f t="shared" ref="AK3" si="19">EDATE(AJ3,1)</f>
        <v>45108</v>
      </c>
      <c r="AL3" s="806">
        <f t="shared" ref="AL3" si="20">EDATE(AK3,1)</f>
        <v>45139</v>
      </c>
      <c r="AM3" s="806">
        <f t="shared" ref="AM3" si="21">EDATE(AL3,1)</f>
        <v>45170</v>
      </c>
      <c r="AN3" s="806">
        <f t="shared" ref="AN3" si="22">EDATE(AM3,1)</f>
        <v>45200</v>
      </c>
      <c r="AO3" s="806">
        <f t="shared" ref="AO3" si="23">EDATE(AN3,1)</f>
        <v>45231</v>
      </c>
      <c r="AP3" s="806">
        <f t="shared" ref="AP3" si="24">EDATE(AO3,1)</f>
        <v>45261</v>
      </c>
      <c r="AQ3" s="294" t="s">
        <v>214</v>
      </c>
    </row>
    <row r="4" spans="1:44">
      <c r="A4" s="286"/>
      <c r="B4" s="12"/>
      <c r="C4" s="12"/>
      <c r="D4" s="12"/>
      <c r="E4" s="12">
        <f>IF(ISERROR(VLOOKUP(C4,DATOS!$E$2:$G$15,3,0)*D4),0,(VLOOKUP(C4,DATOS!$E$2:$G$15,3,0)*D4))</f>
        <v>0</v>
      </c>
      <c r="F4" s="296">
        <f t="shared" ref="F4:F18" si="25">+D4+E4</f>
        <v>0</v>
      </c>
      <c r="G4" s="296">
        <f>+D4</f>
        <v>0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296">
        <f>SUM(G4:AP4)</f>
        <v>0</v>
      </c>
    </row>
    <row r="5" spans="1:44">
      <c r="A5" s="286"/>
      <c r="B5" s="12"/>
      <c r="C5" s="12"/>
      <c r="D5" s="12"/>
      <c r="E5" s="12">
        <f>IF(ISERROR(VLOOKUP(C5,DATOS!$E$2:$G$15,3,0)*D5),0,(VLOOKUP(C5,DATOS!$E$2:$G$15,3,0)*D5))</f>
        <v>0</v>
      </c>
      <c r="F5" s="296">
        <f t="shared" si="25"/>
        <v>0</v>
      </c>
      <c r="G5" s="296">
        <f t="shared" ref="G5:G20" si="26">+D5</f>
        <v>0</v>
      </c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296">
        <f t="shared" ref="AQ5:AQ20" si="27">SUM(G5:AP5)</f>
        <v>0</v>
      </c>
    </row>
    <row r="6" spans="1:44">
      <c r="A6" s="286"/>
      <c r="B6" s="12"/>
      <c r="C6" s="12"/>
      <c r="D6" s="12"/>
      <c r="E6" s="12">
        <f>IF(ISERROR(VLOOKUP(C6,DATOS!$E$2:$G$15,3,0)*D6),0,(VLOOKUP(C6,DATOS!$E$2:$G$15,3,0)*D6))</f>
        <v>0</v>
      </c>
      <c r="F6" s="296">
        <f t="shared" si="25"/>
        <v>0</v>
      </c>
      <c r="G6" s="296">
        <f t="shared" si="26"/>
        <v>0</v>
      </c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296">
        <f t="shared" si="27"/>
        <v>0</v>
      </c>
    </row>
    <row r="7" spans="1:44">
      <c r="A7" s="286"/>
      <c r="B7" s="12"/>
      <c r="C7" s="12"/>
      <c r="D7" s="12"/>
      <c r="E7" s="12">
        <f>IF(ISERROR(VLOOKUP(C7,DATOS!$E$2:$G$15,3,0)*D7),0,(VLOOKUP(C7,DATOS!$E$2:$G$15,3,0)*D7))</f>
        <v>0</v>
      </c>
      <c r="F7" s="296">
        <f t="shared" si="25"/>
        <v>0</v>
      </c>
      <c r="G7" s="296">
        <f t="shared" si="26"/>
        <v>0</v>
      </c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296">
        <f t="shared" si="27"/>
        <v>0</v>
      </c>
    </row>
    <row r="8" spans="1:44">
      <c r="A8" s="286"/>
      <c r="B8" s="12"/>
      <c r="C8" s="12"/>
      <c r="D8" s="12"/>
      <c r="E8" s="12">
        <f>IF(ISERROR(VLOOKUP(C8,DATOS!$E$2:$G$15,3,0)*D8),0,(VLOOKUP(C8,DATOS!$E$2:$G$15,3,0)*D8))</f>
        <v>0</v>
      </c>
      <c r="F8" s="296">
        <f t="shared" si="25"/>
        <v>0</v>
      </c>
      <c r="G8" s="296">
        <f t="shared" si="26"/>
        <v>0</v>
      </c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296">
        <f t="shared" si="27"/>
        <v>0</v>
      </c>
    </row>
    <row r="9" spans="1:44">
      <c r="A9" s="286"/>
      <c r="B9" s="12"/>
      <c r="C9" s="12"/>
      <c r="D9" s="12"/>
      <c r="E9" s="12">
        <f>IF(ISERROR(VLOOKUP(C9,DATOS!$E$2:$G$15,3,0)*D9),0,(VLOOKUP(C9,DATOS!$E$2:$G$15,3,0)*D9))</f>
        <v>0</v>
      </c>
      <c r="F9" s="296">
        <f t="shared" si="25"/>
        <v>0</v>
      </c>
      <c r="G9" s="296">
        <f t="shared" si="26"/>
        <v>0</v>
      </c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296">
        <f t="shared" si="27"/>
        <v>0</v>
      </c>
    </row>
    <row r="10" spans="1:44">
      <c r="A10" s="286"/>
      <c r="B10" s="12"/>
      <c r="C10" s="12"/>
      <c r="D10" s="12"/>
      <c r="E10" s="12">
        <f>IF(ISERROR(VLOOKUP(C10,DATOS!$E$2:$G$15,3,0)*D10),0,(VLOOKUP(C10,DATOS!$E$2:$G$15,3,0)*D10))</f>
        <v>0</v>
      </c>
      <c r="F10" s="296">
        <f t="shared" si="25"/>
        <v>0</v>
      </c>
      <c r="G10" s="296">
        <f t="shared" si="26"/>
        <v>0</v>
      </c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296">
        <f t="shared" si="27"/>
        <v>0</v>
      </c>
    </row>
    <row r="11" spans="1:44">
      <c r="A11" s="286"/>
      <c r="B11" s="12"/>
      <c r="C11" s="12"/>
      <c r="D11" s="12"/>
      <c r="E11" s="12">
        <f>IF(ISERROR(VLOOKUP(C11,DATOS!$E$2:$G$15,3,0)*D11),0,(VLOOKUP(C11,DATOS!$E$2:$G$15,3,0)*D11))</f>
        <v>0</v>
      </c>
      <c r="F11" s="296">
        <f t="shared" si="25"/>
        <v>0</v>
      </c>
      <c r="G11" s="296">
        <f t="shared" si="26"/>
        <v>0</v>
      </c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296">
        <f t="shared" si="27"/>
        <v>0</v>
      </c>
    </row>
    <row r="12" spans="1:44">
      <c r="A12" s="286"/>
      <c r="B12" s="12"/>
      <c r="C12" s="12"/>
      <c r="D12" s="12"/>
      <c r="E12" s="12">
        <f>IF(ISERROR(VLOOKUP(C12,DATOS!$E$2:$G$15,3,0)*D12),0,(VLOOKUP(C12,DATOS!$E$2:$G$15,3,0)*D12))</f>
        <v>0</v>
      </c>
      <c r="F12" s="296">
        <f t="shared" si="25"/>
        <v>0</v>
      </c>
      <c r="G12" s="296">
        <f t="shared" si="26"/>
        <v>0</v>
      </c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296">
        <f t="shared" si="27"/>
        <v>0</v>
      </c>
    </row>
    <row r="13" spans="1:44" hidden="1" outlineLevel="1">
      <c r="A13" s="286"/>
      <c r="B13" s="12"/>
      <c r="C13" s="12"/>
      <c r="D13" s="12"/>
      <c r="E13" s="12">
        <f>IF(ISERROR(VLOOKUP(C13,DATOS!$E$2:$G$15,3,0)*D13),0,(VLOOKUP(C13,DATOS!$E$2:$G$15,3,0)*D13))</f>
        <v>0</v>
      </c>
      <c r="F13" s="296">
        <f t="shared" si="25"/>
        <v>0</v>
      </c>
      <c r="G13" s="296">
        <f t="shared" si="26"/>
        <v>0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296">
        <f t="shared" si="27"/>
        <v>0</v>
      </c>
    </row>
    <row r="14" spans="1:44" hidden="1" outlineLevel="1">
      <c r="A14" s="286"/>
      <c r="B14" s="12"/>
      <c r="C14" s="12"/>
      <c r="D14" s="12"/>
      <c r="E14" s="12">
        <f>IF(ISERROR(VLOOKUP(C14,DATOS!$E$2:$G$15,3,0)*D14),0,(VLOOKUP(C14,DATOS!$E$2:$G$15,3,0)*D14))</f>
        <v>0</v>
      </c>
      <c r="F14" s="296">
        <f t="shared" si="25"/>
        <v>0</v>
      </c>
      <c r="G14" s="296">
        <f t="shared" si="26"/>
        <v>0</v>
      </c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296">
        <f t="shared" si="27"/>
        <v>0</v>
      </c>
    </row>
    <row r="15" spans="1:44" hidden="1" outlineLevel="1">
      <c r="A15" s="286"/>
      <c r="B15" s="12"/>
      <c r="C15" s="12"/>
      <c r="D15" s="12"/>
      <c r="E15" s="12">
        <f>IF(ISERROR(VLOOKUP(C15,DATOS!$E$2:$G$15,3,0)*D15),0,(VLOOKUP(C15,DATOS!$E$2:$G$15,3,0)*D15))</f>
        <v>0</v>
      </c>
      <c r="F15" s="296">
        <f t="shared" si="25"/>
        <v>0</v>
      </c>
      <c r="G15" s="296">
        <f t="shared" si="26"/>
        <v>0</v>
      </c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296">
        <f t="shared" si="27"/>
        <v>0</v>
      </c>
    </row>
    <row r="16" spans="1:44" hidden="1" outlineLevel="1">
      <c r="A16" s="286"/>
      <c r="B16" s="12"/>
      <c r="C16" s="12"/>
      <c r="D16" s="12"/>
      <c r="E16" s="12">
        <f>IF(ISERROR(VLOOKUP(C16,DATOS!$E$2:$G$15,3,0)*D16),0,(VLOOKUP(C16,DATOS!$E$2:$G$15,3,0)*D16))</f>
        <v>0</v>
      </c>
      <c r="F16" s="296">
        <f t="shared" si="25"/>
        <v>0</v>
      </c>
      <c r="G16" s="296">
        <f t="shared" si="26"/>
        <v>0</v>
      </c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296">
        <f t="shared" si="27"/>
        <v>0</v>
      </c>
    </row>
    <row r="17" spans="1:47" hidden="1" outlineLevel="1">
      <c r="A17" s="286"/>
      <c r="B17" s="12"/>
      <c r="C17" s="12"/>
      <c r="D17" s="12"/>
      <c r="E17" s="12">
        <f>IF(ISERROR(VLOOKUP(C17,DATOS!$E$2:$G$15,3,0)*D17),0,(VLOOKUP(C17,DATOS!$E$2:$G$15,3,0)*D17))</f>
        <v>0</v>
      </c>
      <c r="F17" s="296">
        <f t="shared" si="25"/>
        <v>0</v>
      </c>
      <c r="G17" s="296">
        <f t="shared" si="26"/>
        <v>0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296">
        <f t="shared" si="27"/>
        <v>0</v>
      </c>
    </row>
    <row r="18" spans="1:47" hidden="1" outlineLevel="1">
      <c r="A18" s="286"/>
      <c r="B18" s="12"/>
      <c r="C18" s="12"/>
      <c r="D18" s="12"/>
      <c r="E18" s="12">
        <f>IF(ISERROR(VLOOKUP(C18,DATOS!$E$2:$G$15,3,0)*D18),0,(VLOOKUP(C18,DATOS!$E$2:$G$15,3,0)*D18))</f>
        <v>0</v>
      </c>
      <c r="F18" s="296">
        <f t="shared" si="25"/>
        <v>0</v>
      </c>
      <c r="G18" s="296">
        <f t="shared" si="26"/>
        <v>0</v>
      </c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296">
        <f t="shared" si="27"/>
        <v>0</v>
      </c>
    </row>
    <row r="19" spans="1:47" hidden="1" outlineLevel="1">
      <c r="A19" s="286"/>
      <c r="B19" s="12"/>
      <c r="C19" s="12"/>
      <c r="D19" s="12"/>
      <c r="E19" s="12">
        <f>IF(ISERROR(VLOOKUP(C19,DATOS!$E$2:$G$15,3,0)*D19),0,(VLOOKUP(C19,DATOS!$E$2:$G$15,3,0)*D19))</f>
        <v>0</v>
      </c>
      <c r="F19" s="296">
        <f>+D19+E19</f>
        <v>0</v>
      </c>
      <c r="G19" s="296">
        <f t="shared" si="26"/>
        <v>0</v>
      </c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296">
        <f t="shared" si="27"/>
        <v>0</v>
      </c>
    </row>
    <row r="20" spans="1:47" collapsed="1">
      <c r="A20" s="286"/>
      <c r="B20" s="295"/>
      <c r="C20" s="295" t="s">
        <v>110</v>
      </c>
      <c r="D20" s="296">
        <f>SUM(E4:E19)</f>
        <v>0</v>
      </c>
      <c r="E20" s="12"/>
      <c r="F20" s="296"/>
      <c r="G20" s="296">
        <f t="shared" si="26"/>
        <v>0</v>
      </c>
      <c r="H20" s="12">
        <f>SUM(H4:H19)*0.21</f>
        <v>0</v>
      </c>
      <c r="I20" s="12">
        <f t="shared" ref="I20:AP20" si="28">SUM(I4:I19)*0.21</f>
        <v>0</v>
      </c>
      <c r="J20" s="12">
        <f t="shared" si="28"/>
        <v>0</v>
      </c>
      <c r="K20" s="12">
        <f t="shared" si="28"/>
        <v>0</v>
      </c>
      <c r="L20" s="12">
        <f t="shared" si="28"/>
        <v>0</v>
      </c>
      <c r="M20" s="12">
        <f t="shared" si="28"/>
        <v>0</v>
      </c>
      <c r="N20" s="12">
        <f t="shared" si="28"/>
        <v>0</v>
      </c>
      <c r="O20" s="12">
        <f t="shared" si="28"/>
        <v>0</v>
      </c>
      <c r="P20" s="12">
        <f t="shared" si="28"/>
        <v>0</v>
      </c>
      <c r="Q20" s="12">
        <f t="shared" si="28"/>
        <v>0</v>
      </c>
      <c r="R20" s="12">
        <f t="shared" si="28"/>
        <v>0</v>
      </c>
      <c r="S20" s="12">
        <f t="shared" si="28"/>
        <v>0</v>
      </c>
      <c r="T20" s="12">
        <f t="shared" si="28"/>
        <v>0</v>
      </c>
      <c r="U20" s="12">
        <f t="shared" si="28"/>
        <v>0</v>
      </c>
      <c r="V20" s="12">
        <f t="shared" si="28"/>
        <v>0</v>
      </c>
      <c r="W20" s="12">
        <f t="shared" si="28"/>
        <v>0</v>
      </c>
      <c r="X20" s="12">
        <f t="shared" si="28"/>
        <v>0</v>
      </c>
      <c r="Y20" s="12">
        <f t="shared" si="28"/>
        <v>0</v>
      </c>
      <c r="Z20" s="12">
        <f t="shared" si="28"/>
        <v>0</v>
      </c>
      <c r="AA20" s="12">
        <f t="shared" si="28"/>
        <v>0</v>
      </c>
      <c r="AB20" s="12">
        <f t="shared" si="28"/>
        <v>0</v>
      </c>
      <c r="AC20" s="12">
        <f t="shared" si="28"/>
        <v>0</v>
      </c>
      <c r="AD20" s="12">
        <f t="shared" si="28"/>
        <v>0</v>
      </c>
      <c r="AE20" s="12">
        <f t="shared" si="28"/>
        <v>0</v>
      </c>
      <c r="AF20" s="12">
        <f t="shared" si="28"/>
        <v>0</v>
      </c>
      <c r="AG20" s="12">
        <f t="shared" si="28"/>
        <v>0</v>
      </c>
      <c r="AH20" s="12">
        <f t="shared" si="28"/>
        <v>0</v>
      </c>
      <c r="AI20" s="12">
        <f t="shared" si="28"/>
        <v>0</v>
      </c>
      <c r="AJ20" s="12">
        <f t="shared" si="28"/>
        <v>0</v>
      </c>
      <c r="AK20" s="12">
        <f t="shared" si="28"/>
        <v>0</v>
      </c>
      <c r="AL20" s="12">
        <f t="shared" si="28"/>
        <v>0</v>
      </c>
      <c r="AM20" s="12">
        <f t="shared" si="28"/>
        <v>0</v>
      </c>
      <c r="AN20" s="12">
        <f t="shared" si="28"/>
        <v>0</v>
      </c>
      <c r="AO20" s="12">
        <f t="shared" si="28"/>
        <v>0</v>
      </c>
      <c r="AP20" s="12">
        <f t="shared" si="28"/>
        <v>0</v>
      </c>
      <c r="AQ20" s="296">
        <f t="shared" si="27"/>
        <v>0</v>
      </c>
    </row>
    <row r="21" spans="1:47">
      <c r="B21" s="287" t="s">
        <v>46</v>
      </c>
      <c r="C21" s="297" t="s">
        <v>5</v>
      </c>
      <c r="D21" s="299">
        <f t="shared" ref="D21:AQ21" si="29">SUM(D4:D20)</f>
        <v>0</v>
      </c>
      <c r="E21" s="438">
        <f t="shared" si="29"/>
        <v>0</v>
      </c>
      <c r="F21" s="299">
        <f>SUM(F4:F20)</f>
        <v>0</v>
      </c>
      <c r="G21" s="300">
        <f t="shared" si="29"/>
        <v>0</v>
      </c>
      <c r="H21" s="300">
        <f t="shared" si="29"/>
        <v>0</v>
      </c>
      <c r="I21" s="300">
        <f t="shared" si="29"/>
        <v>0</v>
      </c>
      <c r="J21" s="300">
        <f t="shared" si="29"/>
        <v>0</v>
      </c>
      <c r="K21" s="300">
        <f t="shared" si="29"/>
        <v>0</v>
      </c>
      <c r="L21" s="300">
        <f t="shared" si="29"/>
        <v>0</v>
      </c>
      <c r="M21" s="300">
        <f t="shared" si="29"/>
        <v>0</v>
      </c>
      <c r="N21" s="300">
        <f t="shared" si="29"/>
        <v>0</v>
      </c>
      <c r="O21" s="300">
        <f t="shared" si="29"/>
        <v>0</v>
      </c>
      <c r="P21" s="300">
        <f t="shared" si="29"/>
        <v>0</v>
      </c>
      <c r="Q21" s="300">
        <f t="shared" si="29"/>
        <v>0</v>
      </c>
      <c r="R21" s="300">
        <f t="shared" si="29"/>
        <v>0</v>
      </c>
      <c r="S21" s="300">
        <f t="shared" si="29"/>
        <v>0</v>
      </c>
      <c r="T21" s="300">
        <f t="shared" si="29"/>
        <v>0</v>
      </c>
      <c r="U21" s="300">
        <f t="shared" si="29"/>
        <v>0</v>
      </c>
      <c r="V21" s="300">
        <f t="shared" si="29"/>
        <v>0</v>
      </c>
      <c r="W21" s="300">
        <f t="shared" si="29"/>
        <v>0</v>
      </c>
      <c r="X21" s="300">
        <f t="shared" si="29"/>
        <v>0</v>
      </c>
      <c r="Y21" s="300">
        <f t="shared" si="29"/>
        <v>0</v>
      </c>
      <c r="Z21" s="300">
        <f t="shared" si="29"/>
        <v>0</v>
      </c>
      <c r="AA21" s="300">
        <f t="shared" si="29"/>
        <v>0</v>
      </c>
      <c r="AB21" s="300">
        <f t="shared" si="29"/>
        <v>0</v>
      </c>
      <c r="AC21" s="300">
        <f t="shared" si="29"/>
        <v>0</v>
      </c>
      <c r="AD21" s="300">
        <f t="shared" si="29"/>
        <v>0</v>
      </c>
      <c r="AE21" s="300">
        <f t="shared" si="29"/>
        <v>0</v>
      </c>
      <c r="AF21" s="300">
        <f t="shared" si="29"/>
        <v>0</v>
      </c>
      <c r="AG21" s="300">
        <f t="shared" si="29"/>
        <v>0</v>
      </c>
      <c r="AH21" s="300">
        <f t="shared" si="29"/>
        <v>0</v>
      </c>
      <c r="AI21" s="300">
        <f t="shared" si="29"/>
        <v>0</v>
      </c>
      <c r="AJ21" s="300">
        <f t="shared" si="29"/>
        <v>0</v>
      </c>
      <c r="AK21" s="300">
        <f t="shared" si="29"/>
        <v>0</v>
      </c>
      <c r="AL21" s="300">
        <f t="shared" si="29"/>
        <v>0</v>
      </c>
      <c r="AM21" s="300">
        <f t="shared" si="29"/>
        <v>0</v>
      </c>
      <c r="AN21" s="300">
        <f t="shared" si="29"/>
        <v>0</v>
      </c>
      <c r="AO21" s="300">
        <f t="shared" si="29"/>
        <v>0</v>
      </c>
      <c r="AP21" s="300">
        <f t="shared" si="29"/>
        <v>0</v>
      </c>
      <c r="AQ21" s="299">
        <f t="shared" si="29"/>
        <v>0</v>
      </c>
    </row>
    <row r="22" spans="1:47" ht="19.5" thickBot="1">
      <c r="D22" s="287" t="s">
        <v>46</v>
      </c>
    </row>
    <row r="23" spans="1:47" ht="19.5" thickBot="1">
      <c r="B23" s="1220" t="s">
        <v>66</v>
      </c>
      <c r="C23" s="1220"/>
      <c r="D23" s="1220"/>
      <c r="E23" s="1220"/>
      <c r="F23" s="1220"/>
      <c r="G23" s="1225" t="s">
        <v>138</v>
      </c>
      <c r="H23" s="1226"/>
      <c r="I23" s="1226"/>
      <c r="J23" s="1226"/>
      <c r="K23" s="1226"/>
      <c r="L23" s="1226"/>
      <c r="M23" s="1226"/>
      <c r="N23" s="1226"/>
      <c r="O23" s="1226"/>
      <c r="P23" s="1226"/>
      <c r="Q23" s="1226"/>
      <c r="R23" s="1227"/>
      <c r="S23" s="1229" t="s">
        <v>139</v>
      </c>
      <c r="T23" s="1229"/>
      <c r="U23" s="1229"/>
      <c r="V23" s="1229"/>
      <c r="W23" s="1229"/>
      <c r="X23" s="1229"/>
      <c r="Y23" s="1229"/>
      <c r="Z23" s="1229"/>
      <c r="AA23" s="1229"/>
      <c r="AB23" s="1229"/>
      <c r="AC23" s="1229"/>
      <c r="AD23" s="1230"/>
      <c r="AE23" s="1225" t="s">
        <v>140</v>
      </c>
      <c r="AF23" s="1226"/>
      <c r="AG23" s="1226"/>
      <c r="AH23" s="1226"/>
      <c r="AI23" s="1226"/>
      <c r="AJ23" s="1226"/>
      <c r="AK23" s="1226"/>
      <c r="AL23" s="1226"/>
      <c r="AM23" s="1226"/>
      <c r="AN23" s="1226"/>
      <c r="AO23" s="1226"/>
      <c r="AP23" s="1227"/>
    </row>
    <row r="24" spans="1:47" ht="30.75">
      <c r="B24" s="288" t="s">
        <v>20</v>
      </c>
      <c r="C24" s="1231" t="s">
        <v>2</v>
      </c>
      <c r="D24" s="1231"/>
      <c r="E24" s="1231"/>
      <c r="F24" s="289" t="s">
        <v>369</v>
      </c>
      <c r="G24" s="290">
        <f>+Cuestionario!$C$11</f>
        <v>44197</v>
      </c>
      <c r="H24" s="290">
        <f>EDATE(G24,1)</f>
        <v>44228</v>
      </c>
      <c r="I24" s="290">
        <f t="shared" ref="I24" si="30">EDATE(H24,1)</f>
        <v>44256</v>
      </c>
      <c r="J24" s="290">
        <f t="shared" ref="J24" si="31">EDATE(I24,1)</f>
        <v>44287</v>
      </c>
      <c r="K24" s="290">
        <f t="shared" ref="K24" si="32">EDATE(J24,1)</f>
        <v>44317</v>
      </c>
      <c r="L24" s="290">
        <f t="shared" ref="L24" si="33">EDATE(K24,1)</f>
        <v>44348</v>
      </c>
      <c r="M24" s="290">
        <f t="shared" ref="M24" si="34">EDATE(L24,1)</f>
        <v>44378</v>
      </c>
      <c r="N24" s="290">
        <f t="shared" ref="N24" si="35">EDATE(M24,1)</f>
        <v>44409</v>
      </c>
      <c r="O24" s="290">
        <f t="shared" ref="O24" si="36">EDATE(N24,1)</f>
        <v>44440</v>
      </c>
      <c r="P24" s="290">
        <f t="shared" ref="P24" si="37">EDATE(O24,1)</f>
        <v>44470</v>
      </c>
      <c r="Q24" s="290">
        <f t="shared" ref="Q24" si="38">EDATE(P24,1)</f>
        <v>44501</v>
      </c>
      <c r="R24" s="290">
        <f t="shared" ref="R24" si="39">EDATE(Q24,1)</f>
        <v>44531</v>
      </c>
      <c r="S24" s="291">
        <f>+Cuestionario!$C$11</f>
        <v>44197</v>
      </c>
      <c r="T24" s="292">
        <f>EDATE(S24,1)</f>
        <v>44228</v>
      </c>
      <c r="U24" s="292">
        <f t="shared" ref="U24" si="40">EDATE(T24,1)</f>
        <v>44256</v>
      </c>
      <c r="V24" s="292">
        <f t="shared" ref="V24" si="41">EDATE(U24,1)</f>
        <v>44287</v>
      </c>
      <c r="W24" s="292">
        <f t="shared" ref="W24" si="42">EDATE(V24,1)</f>
        <v>44317</v>
      </c>
      <c r="X24" s="292">
        <f t="shared" ref="X24" si="43">EDATE(W24,1)</f>
        <v>44348</v>
      </c>
      <c r="Y24" s="292">
        <f t="shared" ref="Y24" si="44">EDATE(X24,1)</f>
        <v>44378</v>
      </c>
      <c r="Z24" s="292">
        <f t="shared" ref="Z24" si="45">EDATE(Y24,1)</f>
        <v>44409</v>
      </c>
      <c r="AA24" s="292">
        <f t="shared" ref="AA24" si="46">EDATE(Z24,1)</f>
        <v>44440</v>
      </c>
      <c r="AB24" s="292">
        <f t="shared" ref="AB24" si="47">EDATE(AA24,1)</f>
        <v>44470</v>
      </c>
      <c r="AC24" s="292">
        <f t="shared" ref="AC24" si="48">EDATE(AB24,1)</f>
        <v>44501</v>
      </c>
      <c r="AD24" s="293">
        <f t="shared" ref="AD24" si="49">EDATE(AC24,1)</f>
        <v>44531</v>
      </c>
      <c r="AE24" s="290">
        <f>+Cuestionario!$C$11</f>
        <v>44197</v>
      </c>
      <c r="AF24" s="290">
        <f>EDATE(AE24,1)</f>
        <v>44228</v>
      </c>
      <c r="AG24" s="290">
        <f t="shared" ref="AG24" si="50">EDATE(AF24,1)</f>
        <v>44256</v>
      </c>
      <c r="AH24" s="290">
        <f t="shared" ref="AH24" si="51">EDATE(AG24,1)</f>
        <v>44287</v>
      </c>
      <c r="AI24" s="290">
        <f t="shared" ref="AI24" si="52">EDATE(AH24,1)</f>
        <v>44317</v>
      </c>
      <c r="AJ24" s="290">
        <f t="shared" ref="AJ24" si="53">EDATE(AI24,1)</f>
        <v>44348</v>
      </c>
      <c r="AK24" s="290">
        <f t="shared" ref="AK24" si="54">EDATE(AJ24,1)</f>
        <v>44378</v>
      </c>
      <c r="AL24" s="290">
        <f t="shared" ref="AL24" si="55">EDATE(AK24,1)</f>
        <v>44409</v>
      </c>
      <c r="AM24" s="290">
        <f t="shared" ref="AM24" si="56">EDATE(AL24,1)</f>
        <v>44440</v>
      </c>
      <c r="AN24" s="290">
        <f t="shared" ref="AN24" si="57">EDATE(AM24,1)</f>
        <v>44470</v>
      </c>
      <c r="AO24" s="290">
        <f t="shared" ref="AO24" si="58">EDATE(AN24,1)</f>
        <v>44501</v>
      </c>
      <c r="AP24" s="290">
        <f t="shared" ref="AP24" si="59">EDATE(AO24,1)</f>
        <v>44531</v>
      </c>
      <c r="AQ24" s="294" t="s">
        <v>214</v>
      </c>
      <c r="AR24" s="294" t="s">
        <v>370</v>
      </c>
    </row>
    <row r="25" spans="1:47">
      <c r="B25" s="12"/>
      <c r="C25" s="1221"/>
      <c r="D25" s="1222"/>
      <c r="E25" s="1223"/>
      <c r="F25" s="12"/>
      <c r="G25" s="296">
        <f t="shared" ref="G25:G37" si="60">+F25</f>
        <v>0</v>
      </c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296">
        <f>SUM(G25:AP25)</f>
        <v>0</v>
      </c>
      <c r="AR25" s="298">
        <f t="shared" ref="AR25:AR31" si="61">+AQ25-G25</f>
        <v>0</v>
      </c>
    </row>
    <row r="26" spans="1:47">
      <c r="B26" s="12"/>
      <c r="C26" s="1221"/>
      <c r="D26" s="1222"/>
      <c r="E26" s="1223"/>
      <c r="F26" s="12"/>
      <c r="G26" s="296">
        <f t="shared" si="60"/>
        <v>0</v>
      </c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296">
        <f t="shared" ref="AQ26:AQ31" si="62">SUM(G26:AP26)</f>
        <v>0</v>
      </c>
      <c r="AR26" s="298">
        <f t="shared" si="61"/>
        <v>0</v>
      </c>
      <c r="AU26" s="287" t="s">
        <v>46</v>
      </c>
    </row>
    <row r="27" spans="1:47">
      <c r="B27" s="12"/>
      <c r="C27" s="1221"/>
      <c r="D27" s="1222"/>
      <c r="E27" s="1223"/>
      <c r="F27" s="12"/>
      <c r="G27" s="296">
        <f t="shared" si="60"/>
        <v>0</v>
      </c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296">
        <f t="shared" si="62"/>
        <v>0</v>
      </c>
      <c r="AR27" s="298">
        <f t="shared" si="61"/>
        <v>0</v>
      </c>
    </row>
    <row r="28" spans="1:47">
      <c r="B28" s="12"/>
      <c r="C28" s="1221"/>
      <c r="D28" s="1222"/>
      <c r="E28" s="1223"/>
      <c r="F28" s="12"/>
      <c r="G28" s="296">
        <f t="shared" si="60"/>
        <v>0</v>
      </c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296">
        <f t="shared" si="62"/>
        <v>0</v>
      </c>
      <c r="AR28" s="298">
        <f t="shared" si="61"/>
        <v>0</v>
      </c>
    </row>
    <row r="29" spans="1:47">
      <c r="B29" s="12"/>
      <c r="C29" s="1221"/>
      <c r="D29" s="1222"/>
      <c r="E29" s="1223"/>
      <c r="F29" s="12"/>
      <c r="G29" s="296">
        <f t="shared" si="60"/>
        <v>0</v>
      </c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296">
        <f t="shared" si="62"/>
        <v>0</v>
      </c>
      <c r="AR29" s="298">
        <f t="shared" si="61"/>
        <v>0</v>
      </c>
    </row>
    <row r="30" spans="1:47">
      <c r="B30" s="12"/>
      <c r="C30" s="1221"/>
      <c r="D30" s="1222"/>
      <c r="E30" s="1223"/>
      <c r="F30" s="12"/>
      <c r="G30" s="296">
        <f t="shared" si="60"/>
        <v>0</v>
      </c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296">
        <f t="shared" si="62"/>
        <v>0</v>
      </c>
      <c r="AR30" s="298">
        <f t="shared" si="61"/>
        <v>0</v>
      </c>
    </row>
    <row r="31" spans="1:47">
      <c r="B31" s="12"/>
      <c r="C31" s="1221"/>
      <c r="D31" s="1222"/>
      <c r="E31" s="1223"/>
      <c r="F31" s="12"/>
      <c r="G31" s="296">
        <f t="shared" si="60"/>
        <v>0</v>
      </c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296">
        <f t="shared" si="62"/>
        <v>0</v>
      </c>
      <c r="AR31" s="298">
        <f t="shared" si="61"/>
        <v>0</v>
      </c>
    </row>
    <row r="32" spans="1:47" hidden="1" outlineLevel="1">
      <c r="B32" s="12"/>
      <c r="C32" s="1221"/>
      <c r="D32" s="1222"/>
      <c r="E32" s="1223"/>
      <c r="F32" s="132"/>
      <c r="G32" s="296">
        <f t="shared" si="60"/>
        <v>0</v>
      </c>
      <c r="H32" s="13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296">
        <f t="shared" ref="AQ32:AQ37" si="63">SUM(G32:AP32)</f>
        <v>0</v>
      </c>
      <c r="AR32" s="298">
        <f t="shared" ref="AR32:AR37" si="64">+AQ32-G32</f>
        <v>0</v>
      </c>
    </row>
    <row r="33" spans="2:48" hidden="1" outlineLevel="1">
      <c r="B33" s="12"/>
      <c r="C33" s="1221"/>
      <c r="D33" s="1222"/>
      <c r="E33" s="1223"/>
      <c r="F33" s="12"/>
      <c r="G33" s="296">
        <f t="shared" si="60"/>
        <v>0</v>
      </c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296">
        <f t="shared" si="63"/>
        <v>0</v>
      </c>
      <c r="AR33" s="298">
        <f t="shared" si="64"/>
        <v>0</v>
      </c>
      <c r="AV33" s="287" t="s">
        <v>46</v>
      </c>
    </row>
    <row r="34" spans="2:48" hidden="1" outlineLevel="1">
      <c r="B34" s="12"/>
      <c r="C34" s="1221"/>
      <c r="D34" s="1222"/>
      <c r="E34" s="1223"/>
      <c r="F34" s="12"/>
      <c r="G34" s="296">
        <f t="shared" si="60"/>
        <v>0</v>
      </c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296">
        <f t="shared" si="63"/>
        <v>0</v>
      </c>
      <c r="AR34" s="298">
        <f t="shared" si="64"/>
        <v>0</v>
      </c>
    </row>
    <row r="35" spans="2:48" hidden="1" outlineLevel="1">
      <c r="B35" s="12"/>
      <c r="C35" s="1221"/>
      <c r="D35" s="1222"/>
      <c r="E35" s="1223"/>
      <c r="F35" s="12"/>
      <c r="G35" s="296">
        <f t="shared" si="60"/>
        <v>0</v>
      </c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296">
        <f t="shared" si="63"/>
        <v>0</v>
      </c>
      <c r="AR35" s="298">
        <f t="shared" si="64"/>
        <v>0</v>
      </c>
    </row>
    <row r="36" spans="2:48" hidden="1" outlineLevel="1">
      <c r="B36" s="12"/>
      <c r="C36" s="1221"/>
      <c r="D36" s="1222"/>
      <c r="E36" s="1223"/>
      <c r="F36" s="12"/>
      <c r="G36" s="296">
        <f t="shared" si="60"/>
        <v>0</v>
      </c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296">
        <f t="shared" si="63"/>
        <v>0</v>
      </c>
      <c r="AR36" s="298">
        <f t="shared" si="64"/>
        <v>0</v>
      </c>
    </row>
    <row r="37" spans="2:48" hidden="1" outlineLevel="1">
      <c r="B37" s="12"/>
      <c r="C37" s="1221"/>
      <c r="D37" s="1222"/>
      <c r="E37" s="1223"/>
      <c r="F37" s="12"/>
      <c r="G37" s="296">
        <f t="shared" si="60"/>
        <v>0</v>
      </c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296">
        <f t="shared" si="63"/>
        <v>0</v>
      </c>
      <c r="AR37" s="298">
        <f t="shared" si="64"/>
        <v>0</v>
      </c>
    </row>
    <row r="38" spans="2:48" collapsed="1">
      <c r="C38" s="297" t="s">
        <v>5</v>
      </c>
      <c r="F38" s="299">
        <f>SUM(F25:F37)</f>
        <v>0</v>
      </c>
      <c r="G38" s="300">
        <f t="shared" ref="G38:AP38" si="65">SUM(G25:G37)</f>
        <v>0</v>
      </c>
      <c r="H38" s="300">
        <f>SUM(H25:H37)</f>
        <v>0</v>
      </c>
      <c r="I38" s="300">
        <f t="shared" si="65"/>
        <v>0</v>
      </c>
      <c r="J38" s="300">
        <f t="shared" si="65"/>
        <v>0</v>
      </c>
      <c r="K38" s="300">
        <f t="shared" si="65"/>
        <v>0</v>
      </c>
      <c r="L38" s="300">
        <f t="shared" si="65"/>
        <v>0</v>
      </c>
      <c r="M38" s="300">
        <f t="shared" si="65"/>
        <v>0</v>
      </c>
      <c r="N38" s="300">
        <f t="shared" si="65"/>
        <v>0</v>
      </c>
      <c r="O38" s="300">
        <f t="shared" si="65"/>
        <v>0</v>
      </c>
      <c r="P38" s="300">
        <f t="shared" si="65"/>
        <v>0</v>
      </c>
      <c r="Q38" s="300">
        <f t="shared" si="65"/>
        <v>0</v>
      </c>
      <c r="R38" s="300">
        <f t="shared" si="65"/>
        <v>0</v>
      </c>
      <c r="S38" s="300">
        <f t="shared" si="65"/>
        <v>0</v>
      </c>
      <c r="T38" s="300">
        <f t="shared" si="65"/>
        <v>0</v>
      </c>
      <c r="U38" s="300">
        <f t="shared" si="65"/>
        <v>0</v>
      </c>
      <c r="V38" s="300">
        <f t="shared" si="65"/>
        <v>0</v>
      </c>
      <c r="W38" s="300">
        <f t="shared" si="65"/>
        <v>0</v>
      </c>
      <c r="X38" s="300">
        <f t="shared" si="65"/>
        <v>0</v>
      </c>
      <c r="Y38" s="300">
        <f t="shared" si="65"/>
        <v>0</v>
      </c>
      <c r="Z38" s="300">
        <f t="shared" si="65"/>
        <v>0</v>
      </c>
      <c r="AA38" s="300">
        <f t="shared" si="65"/>
        <v>0</v>
      </c>
      <c r="AB38" s="300">
        <f t="shared" si="65"/>
        <v>0</v>
      </c>
      <c r="AC38" s="300">
        <f t="shared" si="65"/>
        <v>0</v>
      </c>
      <c r="AD38" s="300">
        <f t="shared" si="65"/>
        <v>0</v>
      </c>
      <c r="AE38" s="300">
        <f t="shared" si="65"/>
        <v>0</v>
      </c>
      <c r="AF38" s="300">
        <f t="shared" si="65"/>
        <v>0</v>
      </c>
      <c r="AG38" s="300">
        <f t="shared" si="65"/>
        <v>0</v>
      </c>
      <c r="AH38" s="300">
        <f t="shared" si="65"/>
        <v>0</v>
      </c>
      <c r="AI38" s="300">
        <f t="shared" si="65"/>
        <v>0</v>
      </c>
      <c r="AJ38" s="300">
        <f t="shared" si="65"/>
        <v>0</v>
      </c>
      <c r="AK38" s="300">
        <f t="shared" si="65"/>
        <v>0</v>
      </c>
      <c r="AL38" s="300">
        <f t="shared" si="65"/>
        <v>0</v>
      </c>
      <c r="AM38" s="300">
        <f t="shared" si="65"/>
        <v>0</v>
      </c>
      <c r="AN38" s="300">
        <f t="shared" si="65"/>
        <v>0</v>
      </c>
      <c r="AO38" s="300">
        <f t="shared" si="65"/>
        <v>0</v>
      </c>
      <c r="AP38" s="300">
        <f t="shared" si="65"/>
        <v>0</v>
      </c>
      <c r="AQ38" s="299">
        <f>SUM(AQ25:AQ31)</f>
        <v>0</v>
      </c>
      <c r="AR38" s="299">
        <f>SUM(AR25:AR31)</f>
        <v>0</v>
      </c>
    </row>
    <row r="40" spans="2:48">
      <c r="B40" s="1220" t="s">
        <v>45</v>
      </c>
      <c r="C40" s="1220"/>
      <c r="D40" s="1220"/>
      <c r="E40" s="1220"/>
      <c r="F40" s="298">
        <f>+F38-F21</f>
        <v>0</v>
      </c>
    </row>
    <row r="43" spans="2:48" ht="23.25">
      <c r="B43" s="1224" t="s">
        <v>65</v>
      </c>
      <c r="C43" s="1224"/>
      <c r="E43" s="1224" t="s">
        <v>367</v>
      </c>
      <c r="F43" s="1224"/>
      <c r="AS43" s="287" t="s">
        <v>46</v>
      </c>
    </row>
    <row r="44" spans="2:48" ht="5.25" customHeight="1"/>
    <row r="45" spans="2:48">
      <c r="B45" s="287" t="s">
        <v>21</v>
      </c>
      <c r="C45" s="298">
        <f ca="1">SUMIF($C$25:$F$37,"Préstamo",$F$25:$F$37)+Seguimiento!F35+Seguimiento!F37</f>
        <v>0</v>
      </c>
      <c r="E45" s="287" t="s">
        <v>21</v>
      </c>
      <c r="F45" s="298">
        <f ca="1">SUMIF($C$25:$F$37,"Préstamo",$AR$25:$AR$37)</f>
        <v>0</v>
      </c>
    </row>
    <row r="46" spans="2:48">
      <c r="B46" s="287" t="s">
        <v>43</v>
      </c>
      <c r="C46" s="98">
        <v>0.04</v>
      </c>
      <c r="E46" s="287" t="s">
        <v>43</v>
      </c>
      <c r="F46" s="98">
        <v>0.04</v>
      </c>
    </row>
    <row r="47" spans="2:48">
      <c r="B47" s="287" t="s">
        <v>47</v>
      </c>
      <c r="C47" s="12">
        <v>4</v>
      </c>
      <c r="E47" s="287" t="s">
        <v>47</v>
      </c>
      <c r="F47" s="12">
        <v>4</v>
      </c>
    </row>
    <row r="48" spans="2:48">
      <c r="B48" s="287" t="s">
        <v>48</v>
      </c>
      <c r="C48" s="12">
        <v>1</v>
      </c>
      <c r="E48" s="287" t="s">
        <v>48</v>
      </c>
      <c r="F48" s="12"/>
    </row>
    <row r="49" spans="2:6">
      <c r="B49" s="287" t="s">
        <v>551</v>
      </c>
      <c r="C49" s="12"/>
      <c r="E49" s="287" t="s">
        <v>552</v>
      </c>
      <c r="F49" s="12"/>
    </row>
    <row r="50" spans="2:6">
      <c r="B50" s="287" t="s">
        <v>44</v>
      </c>
      <c r="C50" s="298">
        <f ca="1">+'Tabla préstamo inicial'!C8</f>
        <v>0</v>
      </c>
      <c r="E50" s="287" t="s">
        <v>553</v>
      </c>
      <c r="F50" s="298">
        <f ca="1">+'Total préstamo post'!C8</f>
        <v>0</v>
      </c>
    </row>
    <row r="51" spans="2:6">
      <c r="B51" s="287" t="s">
        <v>368</v>
      </c>
      <c r="C51" s="350">
        <f>+C47+C48</f>
        <v>5</v>
      </c>
      <c r="D51" s="571"/>
      <c r="E51" s="287" t="s">
        <v>554</v>
      </c>
      <c r="F51" s="350">
        <f>+F47+F48</f>
        <v>4</v>
      </c>
    </row>
    <row r="52" spans="2:6">
      <c r="E52" s="287" t="s">
        <v>555</v>
      </c>
      <c r="F52" s="12">
        <v>5</v>
      </c>
    </row>
    <row r="54" spans="2:6" ht="78.75" customHeight="1">
      <c r="B54" s="439" t="s">
        <v>374</v>
      </c>
      <c r="C54" s="1219"/>
      <c r="D54" s="1217"/>
      <c r="E54" s="1217"/>
      <c r="F54" s="1217"/>
    </row>
  </sheetData>
  <sheetProtection sheet="1" objects="1" scenarios="1"/>
  <mergeCells count="26">
    <mergeCell ref="B2:F2"/>
    <mergeCell ref="C25:E25"/>
    <mergeCell ref="C24:E24"/>
    <mergeCell ref="C26:E26"/>
    <mergeCell ref="C27:E27"/>
    <mergeCell ref="G2:R2"/>
    <mergeCell ref="S2:AD2"/>
    <mergeCell ref="AE2:AP2"/>
    <mergeCell ref="G23:R23"/>
    <mergeCell ref="S23:AD23"/>
    <mergeCell ref="AE23:AP23"/>
    <mergeCell ref="C28:E28"/>
    <mergeCell ref="C29:E29"/>
    <mergeCell ref="C30:E30"/>
    <mergeCell ref="C31:E31"/>
    <mergeCell ref="B23:F23"/>
    <mergeCell ref="C54:F54"/>
    <mergeCell ref="B40:E40"/>
    <mergeCell ref="C32:E32"/>
    <mergeCell ref="C36:E36"/>
    <mergeCell ref="C37:E37"/>
    <mergeCell ref="C33:E33"/>
    <mergeCell ref="E43:F43"/>
    <mergeCell ref="C34:E34"/>
    <mergeCell ref="C35:E35"/>
    <mergeCell ref="B43:C43"/>
  </mergeCells>
  <dataValidations count="2">
    <dataValidation type="decimal" operator="greaterThanOrEqual" allowBlank="1" showInputMessage="1" showErrorMessage="1" sqref="C49 F49 F52" xr:uid="{00000000-0002-0000-0200-000000000000}">
      <formula1>0</formula1>
    </dataValidation>
    <dataValidation type="decimal" operator="notEqual" allowBlank="1" showInputMessage="1" showErrorMessage="1" sqref="D4:D20 F25:F37" xr:uid="{00000000-0002-0000-0200-000001000000}">
      <formula1>0.001</formula1>
    </dataValidation>
  </dataValidations>
  <hyperlinks>
    <hyperlink ref="B43:C43" location="'Tabla préstamo inicial'!A1" display="Préstamo" xr:uid="{00000000-0004-0000-0200-000000000000}"/>
    <hyperlink ref="E43:F43" location="'Total préstamo post'!A1" display="Préstamo posterior" xr:uid="{00000000-0004-0000-0200-000001000000}"/>
  </hyperlinks>
  <pageMargins left="0.70866141732283472" right="0.70866141732283472" top="0.74803149606299213" bottom="0.74803149606299213" header="0.31496062992125984" footer="0.31496062992125984"/>
  <pageSetup paperSize="9" scale="4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2000000}">
          <x14:formula1>
            <xm:f>DATOS!$I$2:$I$8</xm:f>
          </x14:formula1>
          <xm:sqref>C25:E37</xm:sqref>
        </x14:dataValidation>
        <x14:dataValidation type="list" allowBlank="1" showInputMessage="1" showErrorMessage="1" xr:uid="{00000000-0002-0000-0200-000003000000}">
          <x14:formula1>
            <xm:f>DATOS!$E$2:$E$17</xm:f>
          </x14:formula1>
          <xm:sqref>C4:C19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8">
    <tabColor theme="4" tint="0.59999389629810485"/>
  </sheetPr>
  <dimension ref="A1:W6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ColWidth="11.42578125" defaultRowHeight="15" outlineLevelRow="1" outlineLevelCol="1"/>
  <cols>
    <col min="1" max="1" width="7.85546875" style="280" customWidth="1"/>
    <col min="2" max="2" width="32.7109375" style="280" customWidth="1"/>
    <col min="3" max="3" width="14.7109375" style="280" customWidth="1"/>
    <col min="4" max="4" width="7.85546875" style="280" bestFit="1" customWidth="1"/>
    <col min="5" max="5" width="9.42578125" style="280" bestFit="1" customWidth="1"/>
    <col min="6" max="6" width="9.7109375" style="280" bestFit="1" customWidth="1"/>
    <col min="7" max="7" width="11.140625" style="280" customWidth="1"/>
    <col min="8" max="8" width="7.7109375" style="280" bestFit="1" customWidth="1"/>
    <col min="9" max="9" width="11.5703125" style="280" bestFit="1" customWidth="1"/>
    <col min="10" max="10" width="10.42578125" style="280" customWidth="1"/>
    <col min="11" max="11" width="10" style="280" hidden="1" customWidth="1" outlineLevel="1"/>
    <col min="12" max="12" width="10" style="280" customWidth="1" collapsed="1"/>
    <col min="13" max="14" width="10" style="280" customWidth="1"/>
    <col min="15" max="17" width="10" style="280" hidden="1" customWidth="1" outlineLevel="1"/>
    <col min="18" max="18" width="9.140625" style="280" hidden="1" customWidth="1" outlineLevel="1"/>
    <col min="19" max="19" width="10.42578125" style="280" customWidth="1" collapsed="1"/>
    <col min="20" max="20" width="10.85546875" style="280" customWidth="1"/>
    <col min="21" max="21" width="11.42578125" style="280"/>
    <col min="22" max="22" width="11.42578125" style="36"/>
    <col min="23" max="16384" width="11.42578125" style="280"/>
  </cols>
  <sheetData>
    <row r="1" spans="1:23" ht="15.75" thickBot="1">
      <c r="A1" s="273"/>
      <c r="B1" s="274" t="s">
        <v>242</v>
      </c>
      <c r="C1" s="275">
        <f>+Ventas!F1</f>
        <v>0</v>
      </c>
      <c r="D1" s="276" t="s">
        <v>243</v>
      </c>
      <c r="E1" s="275">
        <f ca="1">+Ventas!H1</f>
        <v>0</v>
      </c>
      <c r="F1" s="274" t="s">
        <v>244</v>
      </c>
      <c r="G1" s="277" t="str">
        <f>+Resultados!D8</f>
        <v/>
      </c>
      <c r="H1" s="279" t="s">
        <v>245</v>
      </c>
      <c r="I1" s="281">
        <f ca="1">IF(ISERROR(+Resultados!$C$27),0,(+Resultados!$C$27))</f>
        <v>0</v>
      </c>
      <c r="L1" s="280" t="s">
        <v>46</v>
      </c>
    </row>
    <row r="2" spans="1:23" s="282" customFormat="1" ht="16.5" thickBot="1">
      <c r="B2" s="315"/>
      <c r="H2" s="276" t="s">
        <v>246</v>
      </c>
      <c r="I2" s="275">
        <f ca="1">MIN('Tesorería mensual'!$C$47:$N$47)</f>
        <v>0</v>
      </c>
      <c r="O2" s="282" t="s">
        <v>46</v>
      </c>
      <c r="V2" s="590"/>
    </row>
    <row r="3" spans="1:23" s="590" customFormat="1" ht="16.5" customHeight="1" thickBot="1">
      <c r="B3" s="594" t="s">
        <v>121</v>
      </c>
      <c r="C3" s="591" t="str">
        <f>IF(Cuestionario!$C$70="SI"," Activitat amb Recàrreg d'equivalència, indicar preus de venda i compra amb IVA, i no indicar % IVA","")</f>
        <v/>
      </c>
      <c r="D3" s="592"/>
      <c r="E3" s="593"/>
      <c r="F3" s="592"/>
      <c r="G3" s="593"/>
      <c r="T3" s="591"/>
    </row>
    <row r="4" spans="1:23" ht="19.5" thickBot="1">
      <c r="B4" s="1232" t="s">
        <v>69</v>
      </c>
      <c r="C4" s="1233"/>
      <c r="D4" s="1233"/>
      <c r="E4" s="1234"/>
      <c r="F4" s="1232" t="s">
        <v>605</v>
      </c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4"/>
      <c r="T4" s="1232" t="s">
        <v>71</v>
      </c>
      <c r="U4" s="1234"/>
      <c r="V4" s="34"/>
    </row>
    <row r="5" spans="1:23" ht="69" customHeight="1">
      <c r="B5" s="845" t="s">
        <v>556</v>
      </c>
      <c r="C5" s="659" t="str">
        <f>IF(AND(Cuestionario!C70="si",Cuestionario!I5="Empresario Individual"),"Total Precio venta IVA incluido","Precio venta unitario sin IVA")</f>
        <v>Precio venta unitario sin IVA</v>
      </c>
      <c r="D5" s="659" t="str">
        <f>IF($C$5="Precio venta unitario sin IVA","%IVA Venta","")</f>
        <v>%IVA Venta</v>
      </c>
      <c r="E5" s="660" t="s">
        <v>75</v>
      </c>
      <c r="F5" s="661" t="str">
        <f>IF(Cuestionario!$C$70="SI","Coste de venta IVA incluido","Coste de compra sin IVA")</f>
        <v>Coste de compra sin IVA</v>
      </c>
      <c r="G5" s="659" t="str">
        <f>IF($C$5="Precio venta unitario sin IVA","%IVA Compra","")</f>
        <v>%IVA Compra</v>
      </c>
      <c r="H5" s="659" t="s">
        <v>94</v>
      </c>
      <c r="I5" s="659" t="s">
        <v>560</v>
      </c>
      <c r="J5" s="659" t="s">
        <v>93</v>
      </c>
      <c r="K5" s="659" t="s">
        <v>95</v>
      </c>
      <c r="L5" s="823" t="s">
        <v>561</v>
      </c>
      <c r="M5" s="823" t="s">
        <v>562</v>
      </c>
      <c r="N5" s="823" t="s">
        <v>563</v>
      </c>
      <c r="O5" s="662" t="s">
        <v>564</v>
      </c>
      <c r="P5" s="662" t="s">
        <v>565</v>
      </c>
      <c r="Q5" s="662" t="s">
        <v>566</v>
      </c>
      <c r="R5" s="662" t="s">
        <v>567</v>
      </c>
      <c r="S5" s="660" t="str">
        <f>IF(Cuestionario!$C$70="SI","","% IVA Gastos variables")</f>
        <v>% IVA Gastos variables</v>
      </c>
      <c r="T5" s="661" t="s">
        <v>72</v>
      </c>
      <c r="U5" s="660" t="s">
        <v>73</v>
      </c>
      <c r="V5" s="34"/>
    </row>
    <row r="6" spans="1:23" s="282" customFormat="1" ht="16.5" thickBot="1">
      <c r="B6" s="649"/>
      <c r="C6" s="602"/>
      <c r="D6" s="600"/>
      <c r="E6" s="650"/>
      <c r="F6" s="640"/>
      <c r="G6" s="600"/>
      <c r="H6" s="603">
        <f t="shared" ref="H6:H20" si="0">IF(ISERROR(+F6/C6),0,(+F6/C6))</f>
        <v>0</v>
      </c>
      <c r="I6" s="601"/>
      <c r="J6" s="605">
        <f t="shared" ref="J6:J20" si="1">SUM(L6:R6)</f>
        <v>0</v>
      </c>
      <c r="K6" s="607">
        <f t="shared" ref="K6:K20" si="2">IF(ISERROR(+J6/C6),0,(+J6/C6))</f>
        <v>0</v>
      </c>
      <c r="L6" s="653"/>
      <c r="M6" s="653"/>
      <c r="N6" s="653"/>
      <c r="O6" s="653"/>
      <c r="P6" s="653"/>
      <c r="Q6" s="653"/>
      <c r="R6" s="653"/>
      <c r="S6" s="635">
        <f t="shared" ref="S6:S20" si="3">+D6</f>
        <v>0</v>
      </c>
      <c r="T6" s="634">
        <f t="shared" ref="T6:T20" si="4">+C6-F6-J6</f>
        <v>0</v>
      </c>
      <c r="U6" s="635" t="str">
        <f t="shared" ref="U6:U20" si="5">IF(ISERROR(+T6/C6),"",(+T6/C6))</f>
        <v/>
      </c>
      <c r="V6" s="590"/>
    </row>
    <row r="7" spans="1:23" s="282" customFormat="1" ht="16.5" thickBot="1">
      <c r="B7" s="649"/>
      <c r="C7" s="602"/>
      <c r="D7" s="600"/>
      <c r="E7" s="650"/>
      <c r="F7" s="640"/>
      <c r="G7" s="600"/>
      <c r="H7" s="604">
        <f t="shared" si="0"/>
        <v>0</v>
      </c>
      <c r="I7" s="601"/>
      <c r="J7" s="606">
        <f t="shared" si="1"/>
        <v>0</v>
      </c>
      <c r="K7" s="608">
        <f t="shared" si="2"/>
        <v>0</v>
      </c>
      <c r="L7" s="602"/>
      <c r="M7" s="602"/>
      <c r="N7" s="602"/>
      <c r="O7" s="602"/>
      <c r="P7" s="602"/>
      <c r="Q7" s="602"/>
      <c r="R7" s="602"/>
      <c r="S7" s="637">
        <f t="shared" si="3"/>
        <v>0</v>
      </c>
      <c r="T7" s="636">
        <f t="shared" si="4"/>
        <v>0</v>
      </c>
      <c r="U7" s="637" t="str">
        <f t="shared" si="5"/>
        <v/>
      </c>
      <c r="V7" s="590"/>
      <c r="W7" s="285"/>
    </row>
    <row r="8" spans="1:23" s="282" customFormat="1" ht="15.75">
      <c r="B8" s="649"/>
      <c r="C8" s="602"/>
      <c r="D8" s="600"/>
      <c r="E8" s="650"/>
      <c r="F8" s="640"/>
      <c r="G8" s="600"/>
      <c r="H8" s="604">
        <f t="shared" si="0"/>
        <v>0</v>
      </c>
      <c r="I8" s="601"/>
      <c r="J8" s="606">
        <f t="shared" si="1"/>
        <v>0</v>
      </c>
      <c r="K8" s="608">
        <f t="shared" si="2"/>
        <v>0</v>
      </c>
      <c r="L8" s="602"/>
      <c r="M8" s="602"/>
      <c r="N8" s="602"/>
      <c r="O8" s="602"/>
      <c r="P8" s="602"/>
      <c r="Q8" s="602"/>
      <c r="R8" s="602"/>
      <c r="S8" s="637">
        <f t="shared" si="3"/>
        <v>0</v>
      </c>
      <c r="T8" s="636">
        <f t="shared" si="4"/>
        <v>0</v>
      </c>
      <c r="U8" s="637" t="str">
        <f t="shared" si="5"/>
        <v/>
      </c>
      <c r="V8" s="590"/>
    </row>
    <row r="9" spans="1:23" s="282" customFormat="1" ht="15.75">
      <c r="B9" s="649"/>
      <c r="C9" s="602"/>
      <c r="D9" s="600"/>
      <c r="E9" s="650"/>
      <c r="F9" s="640"/>
      <c r="G9" s="600"/>
      <c r="H9" s="604">
        <f t="shared" si="0"/>
        <v>0</v>
      </c>
      <c r="I9" s="601"/>
      <c r="J9" s="606">
        <f t="shared" si="1"/>
        <v>0</v>
      </c>
      <c r="K9" s="608">
        <f t="shared" si="2"/>
        <v>0</v>
      </c>
      <c r="L9" s="602"/>
      <c r="M9" s="602"/>
      <c r="N9" s="602"/>
      <c r="O9" s="602"/>
      <c r="P9" s="602"/>
      <c r="Q9" s="602"/>
      <c r="R9" s="602"/>
      <c r="S9" s="637">
        <f t="shared" si="3"/>
        <v>0</v>
      </c>
      <c r="T9" s="636">
        <f t="shared" si="4"/>
        <v>0</v>
      </c>
      <c r="U9" s="637" t="str">
        <f t="shared" si="5"/>
        <v/>
      </c>
      <c r="V9" s="590"/>
    </row>
    <row r="10" spans="1:23" s="282" customFormat="1" ht="16.5" thickBot="1">
      <c r="B10" s="651"/>
      <c r="C10" s="647"/>
      <c r="D10" s="642"/>
      <c r="E10" s="652"/>
      <c r="F10" s="641"/>
      <c r="G10" s="642"/>
      <c r="H10" s="643">
        <f t="shared" si="0"/>
        <v>0</v>
      </c>
      <c r="I10" s="644"/>
      <c r="J10" s="645">
        <f t="shared" si="1"/>
        <v>0</v>
      </c>
      <c r="K10" s="646">
        <f t="shared" si="2"/>
        <v>0</v>
      </c>
      <c r="L10" s="647"/>
      <c r="M10" s="647"/>
      <c r="N10" s="647"/>
      <c r="O10" s="647"/>
      <c r="P10" s="647"/>
      <c r="Q10" s="647"/>
      <c r="R10" s="647"/>
      <c r="S10" s="639">
        <f t="shared" si="3"/>
        <v>0</v>
      </c>
      <c r="T10" s="638">
        <f t="shared" si="4"/>
        <v>0</v>
      </c>
      <c r="U10" s="639" t="str">
        <f t="shared" si="5"/>
        <v/>
      </c>
      <c r="V10" s="590"/>
    </row>
    <row r="11" spans="1:23" s="282" customFormat="1" ht="15.75" outlineLevel="1">
      <c r="B11" s="654"/>
      <c r="C11" s="653"/>
      <c r="D11" s="655"/>
      <c r="E11" s="656"/>
      <c r="F11" s="657"/>
      <c r="G11" s="655"/>
      <c r="H11" s="603">
        <f t="shared" si="0"/>
        <v>0</v>
      </c>
      <c r="I11" s="658"/>
      <c r="J11" s="605">
        <f t="shared" si="1"/>
        <v>0</v>
      </c>
      <c r="K11" s="607">
        <f t="shared" si="2"/>
        <v>0</v>
      </c>
      <c r="L11" s="653"/>
      <c r="M11" s="653"/>
      <c r="N11" s="653"/>
      <c r="O11" s="653"/>
      <c r="P11" s="653"/>
      <c r="Q11" s="653"/>
      <c r="R11" s="653"/>
      <c r="S11" s="635">
        <f t="shared" si="3"/>
        <v>0</v>
      </c>
      <c r="T11" s="634">
        <f t="shared" si="4"/>
        <v>0</v>
      </c>
      <c r="U11" s="635" t="str">
        <f t="shared" si="5"/>
        <v/>
      </c>
      <c r="V11" s="590"/>
    </row>
    <row r="12" spans="1:23" s="282" customFormat="1" ht="15.75" outlineLevel="1">
      <c r="B12" s="649"/>
      <c r="C12" s="602"/>
      <c r="D12" s="600"/>
      <c r="E12" s="650"/>
      <c r="F12" s="640"/>
      <c r="G12" s="600"/>
      <c r="H12" s="604">
        <f t="shared" si="0"/>
        <v>0</v>
      </c>
      <c r="I12" s="601"/>
      <c r="J12" s="606">
        <f t="shared" si="1"/>
        <v>0</v>
      </c>
      <c r="K12" s="608">
        <f t="shared" si="2"/>
        <v>0</v>
      </c>
      <c r="L12" s="602"/>
      <c r="M12" s="602"/>
      <c r="N12" s="602"/>
      <c r="O12" s="602"/>
      <c r="P12" s="602"/>
      <c r="Q12" s="602"/>
      <c r="R12" s="602"/>
      <c r="S12" s="637">
        <f t="shared" si="3"/>
        <v>0</v>
      </c>
      <c r="T12" s="636">
        <f t="shared" si="4"/>
        <v>0</v>
      </c>
      <c r="U12" s="637" t="str">
        <f t="shared" si="5"/>
        <v/>
      </c>
      <c r="V12" s="590"/>
    </row>
    <row r="13" spans="1:23" s="282" customFormat="1" ht="15.75" outlineLevel="1">
      <c r="B13" s="649"/>
      <c r="C13" s="602"/>
      <c r="D13" s="600"/>
      <c r="E13" s="650"/>
      <c r="F13" s="640"/>
      <c r="G13" s="600"/>
      <c r="H13" s="604">
        <f t="shared" si="0"/>
        <v>0</v>
      </c>
      <c r="I13" s="601"/>
      <c r="J13" s="606">
        <f t="shared" si="1"/>
        <v>0</v>
      </c>
      <c r="K13" s="608">
        <f t="shared" si="2"/>
        <v>0</v>
      </c>
      <c r="L13" s="602"/>
      <c r="M13" s="602"/>
      <c r="N13" s="602"/>
      <c r="O13" s="602"/>
      <c r="P13" s="602"/>
      <c r="Q13" s="602"/>
      <c r="R13" s="602"/>
      <c r="S13" s="637">
        <f t="shared" si="3"/>
        <v>0</v>
      </c>
      <c r="T13" s="636">
        <f t="shared" si="4"/>
        <v>0</v>
      </c>
      <c r="U13" s="637" t="str">
        <f t="shared" si="5"/>
        <v/>
      </c>
      <c r="V13" s="590"/>
    </row>
    <row r="14" spans="1:23" s="282" customFormat="1" ht="15.75" outlineLevel="1">
      <c r="B14" s="649"/>
      <c r="C14" s="602"/>
      <c r="D14" s="600"/>
      <c r="E14" s="650"/>
      <c r="F14" s="640"/>
      <c r="G14" s="600"/>
      <c r="H14" s="604">
        <f t="shared" si="0"/>
        <v>0</v>
      </c>
      <c r="I14" s="601"/>
      <c r="J14" s="606">
        <f t="shared" si="1"/>
        <v>0</v>
      </c>
      <c r="K14" s="608">
        <f t="shared" si="2"/>
        <v>0</v>
      </c>
      <c r="L14" s="602"/>
      <c r="M14" s="602"/>
      <c r="N14" s="602"/>
      <c r="O14" s="602"/>
      <c r="P14" s="602"/>
      <c r="Q14" s="602"/>
      <c r="R14" s="602"/>
      <c r="S14" s="637">
        <f t="shared" si="3"/>
        <v>0</v>
      </c>
      <c r="T14" s="636">
        <f t="shared" si="4"/>
        <v>0</v>
      </c>
      <c r="U14" s="637" t="str">
        <f t="shared" si="5"/>
        <v/>
      </c>
      <c r="V14" s="590"/>
    </row>
    <row r="15" spans="1:23" s="282" customFormat="1" ht="15.75" outlineLevel="1">
      <c r="B15" s="649"/>
      <c r="C15" s="602"/>
      <c r="D15" s="600"/>
      <c r="E15" s="650"/>
      <c r="F15" s="640"/>
      <c r="G15" s="600"/>
      <c r="H15" s="604">
        <f t="shared" si="0"/>
        <v>0</v>
      </c>
      <c r="I15" s="601"/>
      <c r="J15" s="606">
        <f t="shared" si="1"/>
        <v>0</v>
      </c>
      <c r="K15" s="608">
        <f t="shared" si="2"/>
        <v>0</v>
      </c>
      <c r="L15" s="602"/>
      <c r="M15" s="602"/>
      <c r="N15" s="602"/>
      <c r="O15" s="602"/>
      <c r="P15" s="602"/>
      <c r="Q15" s="602"/>
      <c r="R15" s="602"/>
      <c r="S15" s="637">
        <f t="shared" si="3"/>
        <v>0</v>
      </c>
      <c r="T15" s="636">
        <f t="shared" si="4"/>
        <v>0</v>
      </c>
      <c r="U15" s="637" t="str">
        <f t="shared" si="5"/>
        <v/>
      </c>
      <c r="V15" s="590"/>
    </row>
    <row r="16" spans="1:23" s="282" customFormat="1" ht="15.75" outlineLevel="1">
      <c r="B16" s="649"/>
      <c r="C16" s="602"/>
      <c r="D16" s="600"/>
      <c r="E16" s="650"/>
      <c r="F16" s="640"/>
      <c r="G16" s="600"/>
      <c r="H16" s="604">
        <f t="shared" si="0"/>
        <v>0</v>
      </c>
      <c r="I16" s="601"/>
      <c r="J16" s="606">
        <f t="shared" si="1"/>
        <v>0</v>
      </c>
      <c r="K16" s="608">
        <f t="shared" si="2"/>
        <v>0</v>
      </c>
      <c r="L16" s="602"/>
      <c r="M16" s="602"/>
      <c r="N16" s="602"/>
      <c r="O16" s="602"/>
      <c r="P16" s="602"/>
      <c r="Q16" s="602"/>
      <c r="R16" s="602"/>
      <c r="S16" s="637">
        <f t="shared" si="3"/>
        <v>0</v>
      </c>
      <c r="T16" s="636">
        <f t="shared" si="4"/>
        <v>0</v>
      </c>
      <c r="U16" s="637" t="str">
        <f t="shared" si="5"/>
        <v/>
      </c>
      <c r="V16" s="590"/>
    </row>
    <row r="17" spans="2:22" s="282" customFormat="1" ht="15.75" outlineLevel="1">
      <c r="B17" s="649"/>
      <c r="C17" s="602"/>
      <c r="D17" s="600"/>
      <c r="E17" s="650"/>
      <c r="F17" s="640"/>
      <c r="G17" s="600"/>
      <c r="H17" s="604">
        <f t="shared" si="0"/>
        <v>0</v>
      </c>
      <c r="I17" s="601"/>
      <c r="J17" s="606">
        <f t="shared" si="1"/>
        <v>0</v>
      </c>
      <c r="K17" s="608">
        <f t="shared" si="2"/>
        <v>0</v>
      </c>
      <c r="L17" s="602"/>
      <c r="M17" s="602"/>
      <c r="N17" s="602"/>
      <c r="O17" s="602"/>
      <c r="P17" s="602"/>
      <c r="Q17" s="602"/>
      <c r="R17" s="602"/>
      <c r="S17" s="637">
        <f t="shared" si="3"/>
        <v>0</v>
      </c>
      <c r="T17" s="636">
        <f t="shared" si="4"/>
        <v>0</v>
      </c>
      <c r="U17" s="637" t="str">
        <f t="shared" si="5"/>
        <v/>
      </c>
      <c r="V17" s="590"/>
    </row>
    <row r="18" spans="2:22" s="282" customFormat="1" ht="15.75" outlineLevel="1">
      <c r="B18" s="649"/>
      <c r="C18" s="602"/>
      <c r="D18" s="600"/>
      <c r="E18" s="650"/>
      <c r="F18" s="640"/>
      <c r="G18" s="600"/>
      <c r="H18" s="604">
        <f t="shared" si="0"/>
        <v>0</v>
      </c>
      <c r="I18" s="601"/>
      <c r="J18" s="606">
        <f t="shared" si="1"/>
        <v>0</v>
      </c>
      <c r="K18" s="608">
        <f t="shared" si="2"/>
        <v>0</v>
      </c>
      <c r="L18" s="602"/>
      <c r="M18" s="602"/>
      <c r="N18" s="602"/>
      <c r="O18" s="602"/>
      <c r="P18" s="602"/>
      <c r="Q18" s="602"/>
      <c r="R18" s="602"/>
      <c r="S18" s="637">
        <f t="shared" si="3"/>
        <v>0</v>
      </c>
      <c r="T18" s="636">
        <f t="shared" si="4"/>
        <v>0</v>
      </c>
      <c r="U18" s="637" t="str">
        <f t="shared" si="5"/>
        <v/>
      </c>
      <c r="V18" s="590"/>
    </row>
    <row r="19" spans="2:22" s="282" customFormat="1" ht="15.75" outlineLevel="1">
      <c r="B19" s="649"/>
      <c r="C19" s="602"/>
      <c r="D19" s="600"/>
      <c r="E19" s="650"/>
      <c r="F19" s="640"/>
      <c r="G19" s="600"/>
      <c r="H19" s="604">
        <f t="shared" si="0"/>
        <v>0</v>
      </c>
      <c r="I19" s="601"/>
      <c r="J19" s="606">
        <f t="shared" si="1"/>
        <v>0</v>
      </c>
      <c r="K19" s="608">
        <f t="shared" si="2"/>
        <v>0</v>
      </c>
      <c r="L19" s="602"/>
      <c r="M19" s="602"/>
      <c r="N19" s="602"/>
      <c r="O19" s="602"/>
      <c r="P19" s="602"/>
      <c r="Q19" s="602"/>
      <c r="R19" s="602"/>
      <c r="S19" s="637">
        <f t="shared" si="3"/>
        <v>0</v>
      </c>
      <c r="T19" s="636">
        <f t="shared" si="4"/>
        <v>0</v>
      </c>
      <c r="U19" s="637" t="str">
        <f t="shared" si="5"/>
        <v/>
      </c>
      <c r="V19" s="590"/>
    </row>
    <row r="20" spans="2:22" s="282" customFormat="1" ht="16.5" outlineLevel="1" thickBot="1">
      <c r="B20" s="651"/>
      <c r="C20" s="647"/>
      <c r="D20" s="642"/>
      <c r="E20" s="652"/>
      <c r="F20" s="641"/>
      <c r="G20" s="642"/>
      <c r="H20" s="643">
        <f t="shared" si="0"/>
        <v>0</v>
      </c>
      <c r="I20" s="644"/>
      <c r="J20" s="645">
        <f t="shared" si="1"/>
        <v>0</v>
      </c>
      <c r="K20" s="646">
        <f t="shared" si="2"/>
        <v>0</v>
      </c>
      <c r="L20" s="647"/>
      <c r="M20" s="647"/>
      <c r="N20" s="647"/>
      <c r="O20" s="647"/>
      <c r="P20" s="647"/>
      <c r="Q20" s="647"/>
      <c r="R20" s="647"/>
      <c r="S20" s="639">
        <f t="shared" si="3"/>
        <v>0</v>
      </c>
      <c r="T20" s="638">
        <f t="shared" si="4"/>
        <v>0</v>
      </c>
      <c r="U20" s="639" t="str">
        <f t="shared" si="5"/>
        <v/>
      </c>
      <c r="V20" s="590"/>
    </row>
    <row r="21" spans="2:22" s="590" customFormat="1" ht="15.75"/>
    <row r="22" spans="2:22" s="282" customFormat="1" ht="16.5" hidden="1" outlineLevel="1" thickBot="1">
      <c r="B22" s="315" t="s">
        <v>122</v>
      </c>
      <c r="P22" s="282" t="s">
        <v>46</v>
      </c>
      <c r="V22" s="590"/>
    </row>
    <row r="23" spans="2:22" ht="19.5" hidden="1" outlineLevel="1" thickBot="1">
      <c r="B23" s="1225" t="s">
        <v>559</v>
      </c>
      <c r="C23" s="1226"/>
      <c r="D23" s="1226"/>
      <c r="E23" s="1227"/>
      <c r="F23" s="1225" t="s">
        <v>78</v>
      </c>
      <c r="G23" s="1226"/>
      <c r="H23" s="1226"/>
      <c r="I23" s="1226"/>
      <c r="J23" s="1226"/>
      <c r="K23" s="1226"/>
      <c r="L23" s="1226"/>
      <c r="M23" s="1226"/>
      <c r="N23" s="1226"/>
      <c r="O23" s="1226"/>
      <c r="P23" s="1226"/>
      <c r="Q23" s="1226"/>
      <c r="R23" s="1226"/>
      <c r="S23" s="1227"/>
      <c r="T23" s="1225" t="s">
        <v>71</v>
      </c>
      <c r="U23" s="1227"/>
      <c r="V23" s="34"/>
    </row>
    <row r="24" spans="2:22" s="282" customFormat="1" ht="75" hidden="1" outlineLevel="1">
      <c r="B24" s="648" t="s">
        <v>556</v>
      </c>
      <c r="C24" s="631" t="str">
        <f>C5</f>
        <v>Precio venta unitario sin IVA</v>
      </c>
      <c r="D24" s="631" t="str">
        <f t="shared" ref="D24:I24" si="6">D5</f>
        <v>%IVA Venta</v>
      </c>
      <c r="E24" s="633" t="str">
        <f t="shared" si="6"/>
        <v>Plazo de cobro</v>
      </c>
      <c r="F24" s="632" t="str">
        <f t="shared" si="6"/>
        <v>Coste de compra sin IVA</v>
      </c>
      <c r="G24" s="631" t="str">
        <f t="shared" si="6"/>
        <v>%IVA Compra</v>
      </c>
      <c r="H24" s="631" t="str">
        <f t="shared" si="6"/>
        <v>% coste compra</v>
      </c>
      <c r="I24" s="631" t="str">
        <f t="shared" si="6"/>
        <v>Plazo pag.</v>
      </c>
      <c r="J24" s="631" t="s">
        <v>557</v>
      </c>
      <c r="K24" s="631" t="s">
        <v>558</v>
      </c>
      <c r="L24" s="631" t="str">
        <f>+L5</f>
        <v>Coste variable 1</v>
      </c>
      <c r="M24" s="631" t="str">
        <f t="shared" ref="M24:R25" si="7">+M5</f>
        <v>Coste variable 2</v>
      </c>
      <c r="N24" s="631" t="str">
        <f t="shared" si="7"/>
        <v>Coste variable 3</v>
      </c>
      <c r="O24" s="631" t="str">
        <f t="shared" si="7"/>
        <v>Coste variable 4</v>
      </c>
      <c r="P24" s="631" t="str">
        <f t="shared" si="7"/>
        <v>Coste variable 5</v>
      </c>
      <c r="Q24" s="631" t="str">
        <f t="shared" si="7"/>
        <v>Coste variable 6</v>
      </c>
      <c r="R24" s="631" t="str">
        <f t="shared" si="7"/>
        <v>Coste variable 7</v>
      </c>
      <c r="S24" s="633" t="s">
        <v>216</v>
      </c>
      <c r="T24" s="632" t="s">
        <v>72</v>
      </c>
      <c r="U24" s="633" t="s">
        <v>73</v>
      </c>
      <c r="V24" s="34"/>
    </row>
    <row r="25" spans="2:22" s="282" customFormat="1" ht="15.75" hidden="1" outlineLevel="1">
      <c r="B25" s="649">
        <f>+B6</f>
        <v>0</v>
      </c>
      <c r="C25" s="602">
        <f>+C6</f>
        <v>0</v>
      </c>
      <c r="D25" s="600">
        <f>+D6</f>
        <v>0</v>
      </c>
      <c r="E25" s="650">
        <f t="shared" ref="E25" si="8">+E6</f>
        <v>0</v>
      </c>
      <c r="F25" s="640">
        <f>+F6</f>
        <v>0</v>
      </c>
      <c r="G25" s="600">
        <f>+G6</f>
        <v>0</v>
      </c>
      <c r="H25" s="603">
        <f t="shared" ref="H25:H39" si="9">IF(ISERROR(+F25/C25),0,(+F25/C25))</f>
        <v>0</v>
      </c>
      <c r="I25" s="601">
        <f t="shared" ref="I25:I39" si="10">+I6</f>
        <v>0</v>
      </c>
      <c r="J25" s="605">
        <f>SUM(L25:R25)</f>
        <v>0</v>
      </c>
      <c r="K25" s="607">
        <f t="shared" ref="K25:K39" si="11">IF(ISERROR(+J25/C25),0,(+J25/C25))</f>
        <v>0</v>
      </c>
      <c r="L25" s="602">
        <f>+L6</f>
        <v>0</v>
      </c>
      <c r="M25" s="602">
        <f t="shared" si="7"/>
        <v>0</v>
      </c>
      <c r="N25" s="602">
        <f t="shared" si="7"/>
        <v>0</v>
      </c>
      <c r="O25" s="602">
        <f t="shared" si="7"/>
        <v>0</v>
      </c>
      <c r="P25" s="602">
        <f t="shared" si="7"/>
        <v>0</v>
      </c>
      <c r="Q25" s="602">
        <f t="shared" si="7"/>
        <v>0</v>
      </c>
      <c r="R25" s="602">
        <f t="shared" si="7"/>
        <v>0</v>
      </c>
      <c r="S25" s="635">
        <f t="shared" ref="S25:S39" si="12">+D25</f>
        <v>0</v>
      </c>
      <c r="T25" s="634">
        <f t="shared" ref="T25:T39" si="13">+C25-F25-J25</f>
        <v>0</v>
      </c>
      <c r="U25" s="635" t="str">
        <f t="shared" ref="U25:U39" si="14">IF(ISERROR(+T25/C25),"",(+T25/C25))</f>
        <v/>
      </c>
      <c r="V25" s="590"/>
    </row>
    <row r="26" spans="2:22" ht="15.75" hidden="1" outlineLevel="1">
      <c r="B26" s="649">
        <f t="shared" ref="B26:G39" si="15">+B7</f>
        <v>0</v>
      </c>
      <c r="C26" s="602">
        <f t="shared" si="15"/>
        <v>0</v>
      </c>
      <c r="D26" s="600">
        <f t="shared" si="15"/>
        <v>0</v>
      </c>
      <c r="E26" s="650">
        <f t="shared" ref="E26" si="16">+E7</f>
        <v>0</v>
      </c>
      <c r="F26" s="640">
        <f t="shared" si="15"/>
        <v>0</v>
      </c>
      <c r="G26" s="600">
        <f t="shared" si="15"/>
        <v>0</v>
      </c>
      <c r="H26" s="604">
        <f t="shared" si="9"/>
        <v>0</v>
      </c>
      <c r="I26" s="601">
        <f t="shared" si="10"/>
        <v>0</v>
      </c>
      <c r="J26" s="606">
        <f t="shared" ref="J26:J39" si="17">SUM(L26:R26)</f>
        <v>0</v>
      </c>
      <c r="K26" s="608">
        <f t="shared" si="11"/>
        <v>0</v>
      </c>
      <c r="L26" s="602">
        <f t="shared" ref="L26:R39" si="18">+L7</f>
        <v>0</v>
      </c>
      <c r="M26" s="602">
        <f t="shared" si="18"/>
        <v>0</v>
      </c>
      <c r="N26" s="602">
        <f>+N7</f>
        <v>0</v>
      </c>
      <c r="O26" s="602">
        <f t="shared" si="18"/>
        <v>0</v>
      </c>
      <c r="P26" s="602">
        <f t="shared" si="18"/>
        <v>0</v>
      </c>
      <c r="Q26" s="602">
        <f t="shared" si="18"/>
        <v>0</v>
      </c>
      <c r="R26" s="602">
        <f t="shared" si="18"/>
        <v>0</v>
      </c>
      <c r="S26" s="637">
        <f t="shared" si="12"/>
        <v>0</v>
      </c>
      <c r="T26" s="636">
        <f t="shared" si="13"/>
        <v>0</v>
      </c>
      <c r="U26" s="637" t="str">
        <f t="shared" si="14"/>
        <v/>
      </c>
      <c r="V26" s="590"/>
    </row>
    <row r="27" spans="2:22" ht="15.75" hidden="1" outlineLevel="1">
      <c r="B27" s="649">
        <f t="shared" si="15"/>
        <v>0</v>
      </c>
      <c r="C27" s="602">
        <f t="shared" si="15"/>
        <v>0</v>
      </c>
      <c r="D27" s="600">
        <f t="shared" si="15"/>
        <v>0</v>
      </c>
      <c r="E27" s="650">
        <f t="shared" ref="E27" si="19">+E8</f>
        <v>0</v>
      </c>
      <c r="F27" s="640">
        <f t="shared" si="15"/>
        <v>0</v>
      </c>
      <c r="G27" s="600">
        <f t="shared" si="15"/>
        <v>0</v>
      </c>
      <c r="H27" s="604">
        <f t="shared" si="9"/>
        <v>0</v>
      </c>
      <c r="I27" s="601">
        <f t="shared" si="10"/>
        <v>0</v>
      </c>
      <c r="J27" s="606">
        <f t="shared" si="17"/>
        <v>0</v>
      </c>
      <c r="K27" s="608">
        <f t="shared" si="11"/>
        <v>0</v>
      </c>
      <c r="L27" s="602">
        <f t="shared" si="18"/>
        <v>0</v>
      </c>
      <c r="M27" s="602">
        <f t="shared" si="18"/>
        <v>0</v>
      </c>
      <c r="N27" s="602">
        <f t="shared" si="18"/>
        <v>0</v>
      </c>
      <c r="O27" s="602">
        <f t="shared" si="18"/>
        <v>0</v>
      </c>
      <c r="P27" s="602">
        <f t="shared" si="18"/>
        <v>0</v>
      </c>
      <c r="Q27" s="602">
        <f t="shared" si="18"/>
        <v>0</v>
      </c>
      <c r="R27" s="602">
        <f t="shared" si="18"/>
        <v>0</v>
      </c>
      <c r="S27" s="637">
        <f t="shared" si="12"/>
        <v>0</v>
      </c>
      <c r="T27" s="636">
        <f t="shared" si="13"/>
        <v>0</v>
      </c>
      <c r="U27" s="637" t="str">
        <f t="shared" si="14"/>
        <v/>
      </c>
      <c r="V27" s="590"/>
    </row>
    <row r="28" spans="2:22" ht="15.75" hidden="1" outlineLevel="1">
      <c r="B28" s="649">
        <f t="shared" si="15"/>
        <v>0</v>
      </c>
      <c r="C28" s="602">
        <f t="shared" si="15"/>
        <v>0</v>
      </c>
      <c r="D28" s="600">
        <f t="shared" si="15"/>
        <v>0</v>
      </c>
      <c r="E28" s="650">
        <f t="shared" si="15"/>
        <v>0</v>
      </c>
      <c r="F28" s="640">
        <f t="shared" si="15"/>
        <v>0</v>
      </c>
      <c r="G28" s="600">
        <f t="shared" si="15"/>
        <v>0</v>
      </c>
      <c r="H28" s="604">
        <f t="shared" si="9"/>
        <v>0</v>
      </c>
      <c r="I28" s="601">
        <f t="shared" si="10"/>
        <v>0</v>
      </c>
      <c r="J28" s="606">
        <f t="shared" si="17"/>
        <v>0</v>
      </c>
      <c r="K28" s="608">
        <f t="shared" si="11"/>
        <v>0</v>
      </c>
      <c r="L28" s="602">
        <f t="shared" si="18"/>
        <v>0</v>
      </c>
      <c r="M28" s="602">
        <f t="shared" si="18"/>
        <v>0</v>
      </c>
      <c r="N28" s="602">
        <f t="shared" si="18"/>
        <v>0</v>
      </c>
      <c r="O28" s="602">
        <f t="shared" si="18"/>
        <v>0</v>
      </c>
      <c r="P28" s="602">
        <f t="shared" si="18"/>
        <v>0</v>
      </c>
      <c r="Q28" s="602">
        <f t="shared" si="18"/>
        <v>0</v>
      </c>
      <c r="R28" s="602">
        <f t="shared" si="18"/>
        <v>0</v>
      </c>
      <c r="S28" s="637">
        <f t="shared" si="12"/>
        <v>0</v>
      </c>
      <c r="T28" s="636">
        <f t="shared" si="13"/>
        <v>0</v>
      </c>
      <c r="U28" s="637" t="str">
        <f t="shared" si="14"/>
        <v/>
      </c>
      <c r="V28" s="590"/>
    </row>
    <row r="29" spans="2:22" ht="15.75" hidden="1" outlineLevel="1">
      <c r="B29" s="649">
        <f t="shared" si="15"/>
        <v>0</v>
      </c>
      <c r="C29" s="602">
        <f t="shared" si="15"/>
        <v>0</v>
      </c>
      <c r="D29" s="600">
        <f t="shared" si="15"/>
        <v>0</v>
      </c>
      <c r="E29" s="650">
        <f t="shared" si="15"/>
        <v>0</v>
      </c>
      <c r="F29" s="640">
        <f t="shared" si="15"/>
        <v>0</v>
      </c>
      <c r="G29" s="600">
        <f t="shared" si="15"/>
        <v>0</v>
      </c>
      <c r="H29" s="604">
        <f t="shared" si="9"/>
        <v>0</v>
      </c>
      <c r="I29" s="601">
        <f t="shared" si="10"/>
        <v>0</v>
      </c>
      <c r="J29" s="606">
        <f t="shared" si="17"/>
        <v>0</v>
      </c>
      <c r="K29" s="608">
        <f t="shared" si="11"/>
        <v>0</v>
      </c>
      <c r="L29" s="602">
        <f t="shared" si="18"/>
        <v>0</v>
      </c>
      <c r="M29" s="602">
        <f t="shared" si="18"/>
        <v>0</v>
      </c>
      <c r="N29" s="602">
        <f t="shared" si="18"/>
        <v>0</v>
      </c>
      <c r="O29" s="602">
        <f t="shared" si="18"/>
        <v>0</v>
      </c>
      <c r="P29" s="602">
        <f t="shared" si="18"/>
        <v>0</v>
      </c>
      <c r="Q29" s="602">
        <f t="shared" si="18"/>
        <v>0</v>
      </c>
      <c r="R29" s="602">
        <f t="shared" si="18"/>
        <v>0</v>
      </c>
      <c r="S29" s="637">
        <f t="shared" si="12"/>
        <v>0</v>
      </c>
      <c r="T29" s="636">
        <f t="shared" si="13"/>
        <v>0</v>
      </c>
      <c r="U29" s="637" t="str">
        <f t="shared" si="14"/>
        <v/>
      </c>
      <c r="V29" s="590"/>
    </row>
    <row r="30" spans="2:22" ht="15.75" hidden="1" outlineLevel="1">
      <c r="B30" s="649">
        <f t="shared" si="15"/>
        <v>0</v>
      </c>
      <c r="C30" s="602">
        <f t="shared" si="15"/>
        <v>0</v>
      </c>
      <c r="D30" s="600">
        <f t="shared" si="15"/>
        <v>0</v>
      </c>
      <c r="E30" s="650">
        <f t="shared" si="15"/>
        <v>0</v>
      </c>
      <c r="F30" s="640">
        <f t="shared" si="15"/>
        <v>0</v>
      </c>
      <c r="G30" s="600">
        <f t="shared" si="15"/>
        <v>0</v>
      </c>
      <c r="H30" s="604">
        <f t="shared" si="9"/>
        <v>0</v>
      </c>
      <c r="I30" s="601">
        <f t="shared" si="10"/>
        <v>0</v>
      </c>
      <c r="J30" s="606">
        <f t="shared" si="17"/>
        <v>0</v>
      </c>
      <c r="K30" s="608">
        <f t="shared" si="11"/>
        <v>0</v>
      </c>
      <c r="L30" s="602">
        <f t="shared" si="18"/>
        <v>0</v>
      </c>
      <c r="M30" s="602">
        <f t="shared" si="18"/>
        <v>0</v>
      </c>
      <c r="N30" s="602">
        <f t="shared" si="18"/>
        <v>0</v>
      </c>
      <c r="O30" s="602">
        <f t="shared" si="18"/>
        <v>0</v>
      </c>
      <c r="P30" s="602">
        <f t="shared" si="18"/>
        <v>0</v>
      </c>
      <c r="Q30" s="602">
        <f t="shared" si="18"/>
        <v>0</v>
      </c>
      <c r="R30" s="602">
        <f t="shared" si="18"/>
        <v>0</v>
      </c>
      <c r="S30" s="637">
        <f t="shared" si="12"/>
        <v>0</v>
      </c>
      <c r="T30" s="636">
        <f t="shared" si="13"/>
        <v>0</v>
      </c>
      <c r="U30" s="637" t="str">
        <f t="shared" si="14"/>
        <v/>
      </c>
      <c r="V30" s="590"/>
    </row>
    <row r="31" spans="2:22" ht="15.75" hidden="1" outlineLevel="1">
      <c r="B31" s="649">
        <f t="shared" si="15"/>
        <v>0</v>
      </c>
      <c r="C31" s="602">
        <f t="shared" si="15"/>
        <v>0</v>
      </c>
      <c r="D31" s="600">
        <f t="shared" si="15"/>
        <v>0</v>
      </c>
      <c r="E31" s="650">
        <f t="shared" si="15"/>
        <v>0</v>
      </c>
      <c r="F31" s="640">
        <f t="shared" si="15"/>
        <v>0</v>
      </c>
      <c r="G31" s="600">
        <f t="shared" si="15"/>
        <v>0</v>
      </c>
      <c r="H31" s="604">
        <f t="shared" si="9"/>
        <v>0</v>
      </c>
      <c r="I31" s="601">
        <f t="shared" si="10"/>
        <v>0</v>
      </c>
      <c r="J31" s="606">
        <f t="shared" si="17"/>
        <v>0</v>
      </c>
      <c r="K31" s="608">
        <f t="shared" si="11"/>
        <v>0</v>
      </c>
      <c r="L31" s="602">
        <f t="shared" si="18"/>
        <v>0</v>
      </c>
      <c r="M31" s="602">
        <f t="shared" si="18"/>
        <v>0</v>
      </c>
      <c r="N31" s="602">
        <f t="shared" si="18"/>
        <v>0</v>
      </c>
      <c r="O31" s="602">
        <f t="shared" si="18"/>
        <v>0</v>
      </c>
      <c r="P31" s="602">
        <f t="shared" si="18"/>
        <v>0</v>
      </c>
      <c r="Q31" s="602">
        <f t="shared" si="18"/>
        <v>0</v>
      </c>
      <c r="R31" s="602">
        <f t="shared" si="18"/>
        <v>0</v>
      </c>
      <c r="S31" s="637">
        <f t="shared" si="12"/>
        <v>0</v>
      </c>
      <c r="T31" s="636">
        <f t="shared" si="13"/>
        <v>0</v>
      </c>
      <c r="U31" s="637" t="str">
        <f t="shared" si="14"/>
        <v/>
      </c>
      <c r="V31" s="590"/>
    </row>
    <row r="32" spans="2:22" ht="15.75" hidden="1" outlineLevel="1">
      <c r="B32" s="649">
        <f t="shared" si="15"/>
        <v>0</v>
      </c>
      <c r="C32" s="602">
        <f t="shared" si="15"/>
        <v>0</v>
      </c>
      <c r="D32" s="600">
        <f t="shared" si="15"/>
        <v>0</v>
      </c>
      <c r="E32" s="650">
        <f t="shared" si="15"/>
        <v>0</v>
      </c>
      <c r="F32" s="640">
        <f t="shared" si="15"/>
        <v>0</v>
      </c>
      <c r="G32" s="600">
        <f t="shared" si="15"/>
        <v>0</v>
      </c>
      <c r="H32" s="604">
        <f t="shared" si="9"/>
        <v>0</v>
      </c>
      <c r="I32" s="601">
        <f t="shared" si="10"/>
        <v>0</v>
      </c>
      <c r="J32" s="606">
        <f t="shared" si="17"/>
        <v>0</v>
      </c>
      <c r="K32" s="608">
        <f t="shared" si="11"/>
        <v>0</v>
      </c>
      <c r="L32" s="602">
        <f t="shared" si="18"/>
        <v>0</v>
      </c>
      <c r="M32" s="602">
        <f t="shared" si="18"/>
        <v>0</v>
      </c>
      <c r="N32" s="602">
        <f t="shared" si="18"/>
        <v>0</v>
      </c>
      <c r="O32" s="602">
        <f t="shared" si="18"/>
        <v>0</v>
      </c>
      <c r="P32" s="602">
        <f t="shared" si="18"/>
        <v>0</v>
      </c>
      <c r="Q32" s="602">
        <f t="shared" si="18"/>
        <v>0</v>
      </c>
      <c r="R32" s="602">
        <f t="shared" si="18"/>
        <v>0</v>
      </c>
      <c r="S32" s="637">
        <f t="shared" si="12"/>
        <v>0</v>
      </c>
      <c r="T32" s="636">
        <f t="shared" si="13"/>
        <v>0</v>
      </c>
      <c r="U32" s="637" t="str">
        <f t="shared" si="14"/>
        <v/>
      </c>
      <c r="V32" s="590"/>
    </row>
    <row r="33" spans="2:22" ht="15.75" hidden="1" outlineLevel="1">
      <c r="B33" s="649">
        <f t="shared" si="15"/>
        <v>0</v>
      </c>
      <c r="C33" s="602">
        <f t="shared" si="15"/>
        <v>0</v>
      </c>
      <c r="D33" s="600">
        <f t="shared" si="15"/>
        <v>0</v>
      </c>
      <c r="E33" s="650">
        <f t="shared" si="15"/>
        <v>0</v>
      </c>
      <c r="F33" s="640">
        <f t="shared" si="15"/>
        <v>0</v>
      </c>
      <c r="G33" s="600">
        <f t="shared" si="15"/>
        <v>0</v>
      </c>
      <c r="H33" s="604">
        <f t="shared" si="9"/>
        <v>0</v>
      </c>
      <c r="I33" s="601">
        <f t="shared" si="10"/>
        <v>0</v>
      </c>
      <c r="J33" s="606">
        <f t="shared" si="17"/>
        <v>0</v>
      </c>
      <c r="K33" s="608">
        <f t="shared" si="11"/>
        <v>0</v>
      </c>
      <c r="L33" s="602">
        <f t="shared" si="18"/>
        <v>0</v>
      </c>
      <c r="M33" s="602">
        <f t="shared" si="18"/>
        <v>0</v>
      </c>
      <c r="N33" s="602">
        <f t="shared" si="18"/>
        <v>0</v>
      </c>
      <c r="O33" s="602">
        <f t="shared" si="18"/>
        <v>0</v>
      </c>
      <c r="P33" s="602">
        <f t="shared" si="18"/>
        <v>0</v>
      </c>
      <c r="Q33" s="602">
        <f t="shared" si="18"/>
        <v>0</v>
      </c>
      <c r="R33" s="602">
        <f t="shared" si="18"/>
        <v>0</v>
      </c>
      <c r="S33" s="637">
        <f t="shared" si="12"/>
        <v>0</v>
      </c>
      <c r="T33" s="636">
        <f t="shared" si="13"/>
        <v>0</v>
      </c>
      <c r="U33" s="637" t="str">
        <f t="shared" si="14"/>
        <v/>
      </c>
      <c r="V33" s="590"/>
    </row>
    <row r="34" spans="2:22" ht="15.75" hidden="1" outlineLevel="1">
      <c r="B34" s="649">
        <f>+B15</f>
        <v>0</v>
      </c>
      <c r="C34" s="602">
        <f t="shared" si="15"/>
        <v>0</v>
      </c>
      <c r="D34" s="600">
        <f t="shared" si="15"/>
        <v>0</v>
      </c>
      <c r="E34" s="650">
        <f t="shared" si="15"/>
        <v>0</v>
      </c>
      <c r="F34" s="640">
        <f t="shared" si="15"/>
        <v>0</v>
      </c>
      <c r="G34" s="600">
        <f t="shared" si="15"/>
        <v>0</v>
      </c>
      <c r="H34" s="604">
        <f t="shared" si="9"/>
        <v>0</v>
      </c>
      <c r="I34" s="601">
        <f t="shared" si="10"/>
        <v>0</v>
      </c>
      <c r="J34" s="606">
        <f t="shared" si="17"/>
        <v>0</v>
      </c>
      <c r="K34" s="608">
        <f t="shared" si="11"/>
        <v>0</v>
      </c>
      <c r="L34" s="602">
        <f t="shared" si="18"/>
        <v>0</v>
      </c>
      <c r="M34" s="602">
        <f t="shared" si="18"/>
        <v>0</v>
      </c>
      <c r="N34" s="602">
        <f t="shared" si="18"/>
        <v>0</v>
      </c>
      <c r="O34" s="602">
        <f t="shared" si="18"/>
        <v>0</v>
      </c>
      <c r="P34" s="602">
        <f t="shared" si="18"/>
        <v>0</v>
      </c>
      <c r="Q34" s="602">
        <f t="shared" si="18"/>
        <v>0</v>
      </c>
      <c r="R34" s="602">
        <f t="shared" si="18"/>
        <v>0</v>
      </c>
      <c r="S34" s="637">
        <f t="shared" si="12"/>
        <v>0</v>
      </c>
      <c r="T34" s="636">
        <f t="shared" si="13"/>
        <v>0</v>
      </c>
      <c r="U34" s="637" t="str">
        <f t="shared" si="14"/>
        <v/>
      </c>
      <c r="V34" s="590"/>
    </row>
    <row r="35" spans="2:22" ht="15.75" hidden="1" outlineLevel="1">
      <c r="B35" s="649">
        <f t="shared" si="15"/>
        <v>0</v>
      </c>
      <c r="C35" s="602">
        <f t="shared" si="15"/>
        <v>0</v>
      </c>
      <c r="D35" s="600">
        <f t="shared" si="15"/>
        <v>0</v>
      </c>
      <c r="E35" s="650">
        <f t="shared" si="15"/>
        <v>0</v>
      </c>
      <c r="F35" s="640">
        <f t="shared" si="15"/>
        <v>0</v>
      </c>
      <c r="G35" s="600">
        <f t="shared" si="15"/>
        <v>0</v>
      </c>
      <c r="H35" s="604">
        <f t="shared" si="9"/>
        <v>0</v>
      </c>
      <c r="I35" s="601">
        <f t="shared" si="10"/>
        <v>0</v>
      </c>
      <c r="J35" s="606">
        <f t="shared" si="17"/>
        <v>0</v>
      </c>
      <c r="K35" s="608">
        <f t="shared" si="11"/>
        <v>0</v>
      </c>
      <c r="L35" s="602">
        <f t="shared" si="18"/>
        <v>0</v>
      </c>
      <c r="M35" s="602">
        <f t="shared" si="18"/>
        <v>0</v>
      </c>
      <c r="N35" s="602">
        <f t="shared" si="18"/>
        <v>0</v>
      </c>
      <c r="O35" s="602">
        <f t="shared" si="18"/>
        <v>0</v>
      </c>
      <c r="P35" s="602">
        <f t="shared" si="18"/>
        <v>0</v>
      </c>
      <c r="Q35" s="602">
        <f t="shared" si="18"/>
        <v>0</v>
      </c>
      <c r="R35" s="602">
        <f t="shared" si="18"/>
        <v>0</v>
      </c>
      <c r="S35" s="637">
        <f t="shared" si="12"/>
        <v>0</v>
      </c>
      <c r="T35" s="636">
        <f t="shared" si="13"/>
        <v>0</v>
      </c>
      <c r="U35" s="637" t="str">
        <f t="shared" si="14"/>
        <v/>
      </c>
      <c r="V35" s="590"/>
    </row>
    <row r="36" spans="2:22" ht="15.75" hidden="1" outlineLevel="1">
      <c r="B36" s="649">
        <f>+B17</f>
        <v>0</v>
      </c>
      <c r="C36" s="602">
        <f t="shared" si="15"/>
        <v>0</v>
      </c>
      <c r="D36" s="600">
        <f t="shared" si="15"/>
        <v>0</v>
      </c>
      <c r="E36" s="650">
        <f t="shared" si="15"/>
        <v>0</v>
      </c>
      <c r="F36" s="640">
        <f t="shared" si="15"/>
        <v>0</v>
      </c>
      <c r="G36" s="600">
        <f t="shared" si="15"/>
        <v>0</v>
      </c>
      <c r="H36" s="604">
        <f t="shared" si="9"/>
        <v>0</v>
      </c>
      <c r="I36" s="601">
        <f t="shared" si="10"/>
        <v>0</v>
      </c>
      <c r="J36" s="606">
        <f t="shared" si="17"/>
        <v>0</v>
      </c>
      <c r="K36" s="608">
        <f t="shared" si="11"/>
        <v>0</v>
      </c>
      <c r="L36" s="602">
        <f t="shared" si="18"/>
        <v>0</v>
      </c>
      <c r="M36" s="602">
        <f t="shared" si="18"/>
        <v>0</v>
      </c>
      <c r="N36" s="602">
        <f t="shared" si="18"/>
        <v>0</v>
      </c>
      <c r="O36" s="602">
        <f t="shared" si="18"/>
        <v>0</v>
      </c>
      <c r="P36" s="602">
        <f t="shared" si="18"/>
        <v>0</v>
      </c>
      <c r="Q36" s="602">
        <f t="shared" si="18"/>
        <v>0</v>
      </c>
      <c r="R36" s="602">
        <f t="shared" si="18"/>
        <v>0</v>
      </c>
      <c r="S36" s="637">
        <f t="shared" si="12"/>
        <v>0</v>
      </c>
      <c r="T36" s="636">
        <f t="shared" si="13"/>
        <v>0</v>
      </c>
      <c r="U36" s="637" t="str">
        <f t="shared" si="14"/>
        <v/>
      </c>
      <c r="V36" s="590"/>
    </row>
    <row r="37" spans="2:22" ht="15.75" hidden="1" outlineLevel="1">
      <c r="B37" s="649">
        <f t="shared" si="15"/>
        <v>0</v>
      </c>
      <c r="C37" s="602">
        <f t="shared" si="15"/>
        <v>0</v>
      </c>
      <c r="D37" s="600">
        <f t="shared" si="15"/>
        <v>0</v>
      </c>
      <c r="E37" s="650">
        <f t="shared" si="15"/>
        <v>0</v>
      </c>
      <c r="F37" s="640">
        <f t="shared" si="15"/>
        <v>0</v>
      </c>
      <c r="G37" s="600">
        <f t="shared" si="15"/>
        <v>0</v>
      </c>
      <c r="H37" s="604">
        <f t="shared" si="9"/>
        <v>0</v>
      </c>
      <c r="I37" s="601">
        <f t="shared" si="10"/>
        <v>0</v>
      </c>
      <c r="J37" s="606">
        <f t="shared" si="17"/>
        <v>0</v>
      </c>
      <c r="K37" s="608">
        <f t="shared" si="11"/>
        <v>0</v>
      </c>
      <c r="L37" s="602">
        <f t="shared" si="18"/>
        <v>0</v>
      </c>
      <c r="M37" s="602">
        <f t="shared" si="18"/>
        <v>0</v>
      </c>
      <c r="N37" s="602">
        <f t="shared" si="18"/>
        <v>0</v>
      </c>
      <c r="O37" s="602">
        <f t="shared" si="18"/>
        <v>0</v>
      </c>
      <c r="P37" s="602">
        <f t="shared" si="18"/>
        <v>0</v>
      </c>
      <c r="Q37" s="602">
        <f t="shared" si="18"/>
        <v>0</v>
      </c>
      <c r="R37" s="602">
        <f t="shared" si="18"/>
        <v>0</v>
      </c>
      <c r="S37" s="637">
        <f t="shared" si="12"/>
        <v>0</v>
      </c>
      <c r="T37" s="636">
        <f t="shared" si="13"/>
        <v>0</v>
      </c>
      <c r="U37" s="637" t="str">
        <f t="shared" si="14"/>
        <v/>
      </c>
      <c r="V37" s="590"/>
    </row>
    <row r="38" spans="2:22" ht="15.75" hidden="1" outlineLevel="1">
      <c r="B38" s="649">
        <f t="shared" si="15"/>
        <v>0</v>
      </c>
      <c r="C38" s="602">
        <f t="shared" si="15"/>
        <v>0</v>
      </c>
      <c r="D38" s="600">
        <f t="shared" si="15"/>
        <v>0</v>
      </c>
      <c r="E38" s="650">
        <f t="shared" si="15"/>
        <v>0</v>
      </c>
      <c r="F38" s="640">
        <f t="shared" si="15"/>
        <v>0</v>
      </c>
      <c r="G38" s="600">
        <f t="shared" si="15"/>
        <v>0</v>
      </c>
      <c r="H38" s="604">
        <f t="shared" si="9"/>
        <v>0</v>
      </c>
      <c r="I38" s="601">
        <f t="shared" si="10"/>
        <v>0</v>
      </c>
      <c r="J38" s="606">
        <f t="shared" si="17"/>
        <v>0</v>
      </c>
      <c r="K38" s="608">
        <f t="shared" si="11"/>
        <v>0</v>
      </c>
      <c r="L38" s="602">
        <f t="shared" si="18"/>
        <v>0</v>
      </c>
      <c r="M38" s="602">
        <f t="shared" si="18"/>
        <v>0</v>
      </c>
      <c r="N38" s="602">
        <f t="shared" si="18"/>
        <v>0</v>
      </c>
      <c r="O38" s="602">
        <f t="shared" si="18"/>
        <v>0</v>
      </c>
      <c r="P38" s="602">
        <f t="shared" si="18"/>
        <v>0</v>
      </c>
      <c r="Q38" s="602">
        <f t="shared" si="18"/>
        <v>0</v>
      </c>
      <c r="R38" s="602">
        <f t="shared" si="18"/>
        <v>0</v>
      </c>
      <c r="S38" s="637">
        <f t="shared" si="12"/>
        <v>0</v>
      </c>
      <c r="T38" s="636">
        <f t="shared" si="13"/>
        <v>0</v>
      </c>
      <c r="U38" s="637" t="str">
        <f t="shared" si="14"/>
        <v/>
      </c>
      <c r="V38" s="590"/>
    </row>
    <row r="39" spans="2:22" ht="16.5" hidden="1" outlineLevel="1" thickBot="1">
      <c r="B39" s="651">
        <f t="shared" si="15"/>
        <v>0</v>
      </c>
      <c r="C39" s="647">
        <f t="shared" si="15"/>
        <v>0</v>
      </c>
      <c r="D39" s="642">
        <f t="shared" si="15"/>
        <v>0</v>
      </c>
      <c r="E39" s="652">
        <f t="shared" si="15"/>
        <v>0</v>
      </c>
      <c r="F39" s="641">
        <f t="shared" si="15"/>
        <v>0</v>
      </c>
      <c r="G39" s="642">
        <f t="shared" si="15"/>
        <v>0</v>
      </c>
      <c r="H39" s="643">
        <f t="shared" si="9"/>
        <v>0</v>
      </c>
      <c r="I39" s="644">
        <f t="shared" si="10"/>
        <v>0</v>
      </c>
      <c r="J39" s="645">
        <f t="shared" si="17"/>
        <v>0</v>
      </c>
      <c r="K39" s="646">
        <f t="shared" si="11"/>
        <v>0</v>
      </c>
      <c r="L39" s="647">
        <f t="shared" si="18"/>
        <v>0</v>
      </c>
      <c r="M39" s="647">
        <f t="shared" si="18"/>
        <v>0</v>
      </c>
      <c r="N39" s="647">
        <f t="shared" si="18"/>
        <v>0</v>
      </c>
      <c r="O39" s="647">
        <f t="shared" si="18"/>
        <v>0</v>
      </c>
      <c r="P39" s="647">
        <f t="shared" si="18"/>
        <v>0</v>
      </c>
      <c r="Q39" s="647">
        <f t="shared" si="18"/>
        <v>0</v>
      </c>
      <c r="R39" s="647">
        <f t="shared" si="18"/>
        <v>0</v>
      </c>
      <c r="S39" s="639">
        <f t="shared" si="12"/>
        <v>0</v>
      </c>
      <c r="T39" s="638">
        <f t="shared" si="13"/>
        <v>0</v>
      </c>
      <c r="U39" s="639" t="str">
        <f t="shared" si="14"/>
        <v/>
      </c>
      <c r="V39" s="590"/>
    </row>
    <row r="40" spans="2:22" s="282" customFormat="1" ht="16.5" hidden="1" outlineLevel="1" thickBot="1">
      <c r="B40" s="315" t="s">
        <v>123</v>
      </c>
      <c r="P40" s="282" t="s">
        <v>46</v>
      </c>
      <c r="V40" s="590"/>
    </row>
    <row r="41" spans="2:22" ht="19.5" hidden="1" outlineLevel="1" thickBot="1">
      <c r="B41" s="1225" t="s">
        <v>559</v>
      </c>
      <c r="C41" s="1226"/>
      <c r="D41" s="1226"/>
      <c r="E41" s="1227"/>
      <c r="F41" s="1225" t="s">
        <v>78</v>
      </c>
      <c r="G41" s="1226"/>
      <c r="H41" s="1226"/>
      <c r="I41" s="1226"/>
      <c r="J41" s="1226"/>
      <c r="K41" s="1226"/>
      <c r="L41" s="1226"/>
      <c r="M41" s="1226"/>
      <c r="N41" s="1226"/>
      <c r="O41" s="1226"/>
      <c r="P41" s="1226"/>
      <c r="Q41" s="1226"/>
      <c r="R41" s="1226"/>
      <c r="S41" s="1227"/>
      <c r="T41" s="1225" t="s">
        <v>71</v>
      </c>
      <c r="U41" s="1227"/>
      <c r="V41" s="34"/>
    </row>
    <row r="42" spans="2:22" s="282" customFormat="1" ht="75" hidden="1" outlineLevel="1">
      <c r="B42" s="648" t="s">
        <v>556</v>
      </c>
      <c r="C42" s="631" t="str">
        <f t="shared" ref="C42:I42" si="20">C5</f>
        <v>Precio venta unitario sin IVA</v>
      </c>
      <c r="D42" s="631" t="str">
        <f t="shared" si="20"/>
        <v>%IVA Venta</v>
      </c>
      <c r="E42" s="633" t="str">
        <f t="shared" si="20"/>
        <v>Plazo de cobro</v>
      </c>
      <c r="F42" s="632" t="str">
        <f t="shared" si="20"/>
        <v>Coste de compra sin IVA</v>
      </c>
      <c r="G42" s="631" t="str">
        <f t="shared" si="20"/>
        <v>%IVA Compra</v>
      </c>
      <c r="H42" s="631" t="str">
        <f t="shared" si="20"/>
        <v>% coste compra</v>
      </c>
      <c r="I42" s="631" t="str">
        <f t="shared" si="20"/>
        <v>Plazo pag.</v>
      </c>
      <c r="J42" s="631" t="s">
        <v>557</v>
      </c>
      <c r="K42" s="631" t="s">
        <v>558</v>
      </c>
      <c r="L42" s="631" t="str">
        <f t="shared" ref="L42:R43" si="21">+L24</f>
        <v>Coste variable 1</v>
      </c>
      <c r="M42" s="631" t="str">
        <f t="shared" si="21"/>
        <v>Coste variable 2</v>
      </c>
      <c r="N42" s="631" t="str">
        <f t="shared" si="21"/>
        <v>Coste variable 3</v>
      </c>
      <c r="O42" s="631" t="str">
        <f t="shared" si="21"/>
        <v>Coste variable 4</v>
      </c>
      <c r="P42" s="631" t="str">
        <f t="shared" si="21"/>
        <v>Coste variable 5</v>
      </c>
      <c r="Q42" s="631" t="str">
        <f t="shared" si="21"/>
        <v>Coste variable 6</v>
      </c>
      <c r="R42" s="631" t="str">
        <f t="shared" si="21"/>
        <v>Coste variable 7</v>
      </c>
      <c r="S42" s="633" t="s">
        <v>216</v>
      </c>
      <c r="T42" s="632" t="s">
        <v>72</v>
      </c>
      <c r="U42" s="633" t="s">
        <v>73</v>
      </c>
      <c r="V42" s="34"/>
    </row>
    <row r="43" spans="2:22" ht="15.75" hidden="1" outlineLevel="1">
      <c r="B43" s="649">
        <f t="shared" ref="B43:G57" si="22">+B25</f>
        <v>0</v>
      </c>
      <c r="C43" s="602">
        <f t="shared" si="22"/>
        <v>0</v>
      </c>
      <c r="D43" s="600">
        <f t="shared" si="22"/>
        <v>0</v>
      </c>
      <c r="E43" s="650">
        <f t="shared" si="22"/>
        <v>0</v>
      </c>
      <c r="F43" s="640">
        <f t="shared" si="22"/>
        <v>0</v>
      </c>
      <c r="G43" s="600">
        <f t="shared" si="22"/>
        <v>0</v>
      </c>
      <c r="H43" s="603">
        <f t="shared" ref="H43:H57" si="23">IF(ISERROR(+F43/C43),0,(+F43/C43))</f>
        <v>0</v>
      </c>
      <c r="I43" s="601">
        <f t="shared" ref="I43:I57" si="24">+I25</f>
        <v>0</v>
      </c>
      <c r="J43" s="605">
        <f>SUM(L43:R43)</f>
        <v>0</v>
      </c>
      <c r="K43" s="607">
        <f t="shared" ref="K43:K57" si="25">IF(ISERROR(+J43/C43),0,(+J43/C43))</f>
        <v>0</v>
      </c>
      <c r="L43" s="602">
        <f t="shared" si="21"/>
        <v>0</v>
      </c>
      <c r="M43" s="602">
        <f t="shared" si="21"/>
        <v>0</v>
      </c>
      <c r="N43" s="602">
        <f t="shared" si="21"/>
        <v>0</v>
      </c>
      <c r="O43" s="602">
        <f t="shared" si="21"/>
        <v>0</v>
      </c>
      <c r="P43" s="602">
        <f t="shared" si="21"/>
        <v>0</v>
      </c>
      <c r="Q43" s="602">
        <f t="shared" si="21"/>
        <v>0</v>
      </c>
      <c r="R43" s="602">
        <f t="shared" si="21"/>
        <v>0</v>
      </c>
      <c r="S43" s="635">
        <f t="shared" ref="S43:S57" si="26">+D43</f>
        <v>0</v>
      </c>
      <c r="T43" s="634">
        <f t="shared" ref="T43:T57" si="27">+C43-F43-J43</f>
        <v>0</v>
      </c>
      <c r="U43" s="635" t="str">
        <f t="shared" ref="U43:U57" si="28">IF(ISERROR(+T43/C43),"",(+T43/C43))</f>
        <v/>
      </c>
      <c r="V43" s="590"/>
    </row>
    <row r="44" spans="2:22" ht="15.75" hidden="1" outlineLevel="1">
      <c r="B44" s="649">
        <f t="shared" si="22"/>
        <v>0</v>
      </c>
      <c r="C44" s="602">
        <f t="shared" si="22"/>
        <v>0</v>
      </c>
      <c r="D44" s="600">
        <f t="shared" si="22"/>
        <v>0</v>
      </c>
      <c r="E44" s="650">
        <f t="shared" si="22"/>
        <v>0</v>
      </c>
      <c r="F44" s="640">
        <f t="shared" si="22"/>
        <v>0</v>
      </c>
      <c r="G44" s="600">
        <f t="shared" si="22"/>
        <v>0</v>
      </c>
      <c r="H44" s="604">
        <f t="shared" si="23"/>
        <v>0</v>
      </c>
      <c r="I44" s="601">
        <f t="shared" si="24"/>
        <v>0</v>
      </c>
      <c r="J44" s="606">
        <f t="shared" ref="J44:J57" si="29">SUM(L44:R44)</f>
        <v>0</v>
      </c>
      <c r="K44" s="608">
        <f t="shared" si="25"/>
        <v>0</v>
      </c>
      <c r="L44" s="602">
        <f t="shared" ref="L44:R57" si="30">+L26</f>
        <v>0</v>
      </c>
      <c r="M44" s="602">
        <f t="shared" si="30"/>
        <v>0</v>
      </c>
      <c r="N44" s="602">
        <f t="shared" si="30"/>
        <v>0</v>
      </c>
      <c r="O44" s="602">
        <f t="shared" si="30"/>
        <v>0</v>
      </c>
      <c r="P44" s="602">
        <f t="shared" si="30"/>
        <v>0</v>
      </c>
      <c r="Q44" s="602">
        <f t="shared" si="30"/>
        <v>0</v>
      </c>
      <c r="R44" s="602">
        <f t="shared" si="30"/>
        <v>0</v>
      </c>
      <c r="S44" s="637">
        <f t="shared" si="26"/>
        <v>0</v>
      </c>
      <c r="T44" s="636">
        <f t="shared" si="27"/>
        <v>0</v>
      </c>
      <c r="U44" s="637" t="str">
        <f t="shared" si="28"/>
        <v/>
      </c>
      <c r="V44" s="590"/>
    </row>
    <row r="45" spans="2:22" ht="15.75" hidden="1" outlineLevel="1">
      <c r="B45" s="649">
        <f t="shared" si="22"/>
        <v>0</v>
      </c>
      <c r="C45" s="602">
        <f t="shared" si="22"/>
        <v>0</v>
      </c>
      <c r="D45" s="600">
        <f t="shared" si="22"/>
        <v>0</v>
      </c>
      <c r="E45" s="650">
        <f t="shared" si="22"/>
        <v>0</v>
      </c>
      <c r="F45" s="640">
        <f t="shared" si="22"/>
        <v>0</v>
      </c>
      <c r="G45" s="600">
        <f t="shared" si="22"/>
        <v>0</v>
      </c>
      <c r="H45" s="604">
        <f t="shared" si="23"/>
        <v>0</v>
      </c>
      <c r="I45" s="601">
        <f t="shared" si="24"/>
        <v>0</v>
      </c>
      <c r="J45" s="606">
        <f t="shared" si="29"/>
        <v>0</v>
      </c>
      <c r="K45" s="608">
        <f t="shared" si="25"/>
        <v>0</v>
      </c>
      <c r="L45" s="602">
        <f t="shared" si="30"/>
        <v>0</v>
      </c>
      <c r="M45" s="602">
        <f t="shared" si="30"/>
        <v>0</v>
      </c>
      <c r="N45" s="602">
        <f t="shared" si="30"/>
        <v>0</v>
      </c>
      <c r="O45" s="602">
        <f t="shared" si="30"/>
        <v>0</v>
      </c>
      <c r="P45" s="602">
        <f t="shared" si="30"/>
        <v>0</v>
      </c>
      <c r="Q45" s="602">
        <f t="shared" si="30"/>
        <v>0</v>
      </c>
      <c r="R45" s="602">
        <f t="shared" si="30"/>
        <v>0</v>
      </c>
      <c r="S45" s="637">
        <f t="shared" si="26"/>
        <v>0</v>
      </c>
      <c r="T45" s="636">
        <f t="shared" si="27"/>
        <v>0</v>
      </c>
      <c r="U45" s="637" t="str">
        <f t="shared" si="28"/>
        <v/>
      </c>
      <c r="V45" s="590"/>
    </row>
    <row r="46" spans="2:22" ht="15.75" hidden="1" outlineLevel="1">
      <c r="B46" s="649">
        <f t="shared" si="22"/>
        <v>0</v>
      </c>
      <c r="C46" s="602">
        <f t="shared" si="22"/>
        <v>0</v>
      </c>
      <c r="D46" s="600">
        <f t="shared" si="22"/>
        <v>0</v>
      </c>
      <c r="E46" s="650">
        <f t="shared" si="22"/>
        <v>0</v>
      </c>
      <c r="F46" s="640">
        <f t="shared" si="22"/>
        <v>0</v>
      </c>
      <c r="G46" s="600">
        <f t="shared" si="22"/>
        <v>0</v>
      </c>
      <c r="H46" s="604">
        <f t="shared" si="23"/>
        <v>0</v>
      </c>
      <c r="I46" s="601">
        <f t="shared" si="24"/>
        <v>0</v>
      </c>
      <c r="J46" s="606">
        <f t="shared" si="29"/>
        <v>0</v>
      </c>
      <c r="K46" s="608">
        <f t="shared" si="25"/>
        <v>0</v>
      </c>
      <c r="L46" s="602">
        <f t="shared" si="30"/>
        <v>0</v>
      </c>
      <c r="M46" s="602">
        <f t="shared" si="30"/>
        <v>0</v>
      </c>
      <c r="N46" s="602">
        <f t="shared" si="30"/>
        <v>0</v>
      </c>
      <c r="O46" s="602">
        <f t="shared" si="30"/>
        <v>0</v>
      </c>
      <c r="P46" s="602">
        <f t="shared" si="30"/>
        <v>0</v>
      </c>
      <c r="Q46" s="602">
        <f t="shared" si="30"/>
        <v>0</v>
      </c>
      <c r="R46" s="602">
        <f t="shared" si="30"/>
        <v>0</v>
      </c>
      <c r="S46" s="637">
        <f t="shared" si="26"/>
        <v>0</v>
      </c>
      <c r="T46" s="636">
        <f t="shared" si="27"/>
        <v>0</v>
      </c>
      <c r="U46" s="637" t="str">
        <f t="shared" si="28"/>
        <v/>
      </c>
      <c r="V46" s="590"/>
    </row>
    <row r="47" spans="2:22" ht="15.75" hidden="1" outlineLevel="1">
      <c r="B47" s="649">
        <f t="shared" si="22"/>
        <v>0</v>
      </c>
      <c r="C47" s="602">
        <f t="shared" si="22"/>
        <v>0</v>
      </c>
      <c r="D47" s="600">
        <f t="shared" si="22"/>
        <v>0</v>
      </c>
      <c r="E47" s="650">
        <f t="shared" si="22"/>
        <v>0</v>
      </c>
      <c r="F47" s="640">
        <f t="shared" si="22"/>
        <v>0</v>
      </c>
      <c r="G47" s="600">
        <f t="shared" si="22"/>
        <v>0</v>
      </c>
      <c r="H47" s="604">
        <f t="shared" si="23"/>
        <v>0</v>
      </c>
      <c r="I47" s="601">
        <f t="shared" si="24"/>
        <v>0</v>
      </c>
      <c r="J47" s="606">
        <f t="shared" si="29"/>
        <v>0</v>
      </c>
      <c r="K47" s="608">
        <f t="shared" si="25"/>
        <v>0</v>
      </c>
      <c r="L47" s="602">
        <f t="shared" si="30"/>
        <v>0</v>
      </c>
      <c r="M47" s="602">
        <f t="shared" si="30"/>
        <v>0</v>
      </c>
      <c r="N47" s="602">
        <f t="shared" si="30"/>
        <v>0</v>
      </c>
      <c r="O47" s="602">
        <f t="shared" si="30"/>
        <v>0</v>
      </c>
      <c r="P47" s="602">
        <f t="shared" si="30"/>
        <v>0</v>
      </c>
      <c r="Q47" s="602">
        <f t="shared" si="30"/>
        <v>0</v>
      </c>
      <c r="R47" s="602">
        <f t="shared" si="30"/>
        <v>0</v>
      </c>
      <c r="S47" s="637">
        <f t="shared" si="26"/>
        <v>0</v>
      </c>
      <c r="T47" s="636">
        <f t="shared" si="27"/>
        <v>0</v>
      </c>
      <c r="U47" s="637" t="str">
        <f t="shared" si="28"/>
        <v/>
      </c>
      <c r="V47" s="590"/>
    </row>
    <row r="48" spans="2:22" ht="15.75" hidden="1" outlineLevel="1">
      <c r="B48" s="649">
        <f t="shared" si="22"/>
        <v>0</v>
      </c>
      <c r="C48" s="602">
        <f t="shared" si="22"/>
        <v>0</v>
      </c>
      <c r="D48" s="600">
        <f t="shared" si="22"/>
        <v>0</v>
      </c>
      <c r="E48" s="650">
        <f t="shared" si="22"/>
        <v>0</v>
      </c>
      <c r="F48" s="640">
        <f t="shared" si="22"/>
        <v>0</v>
      </c>
      <c r="G48" s="600">
        <f t="shared" si="22"/>
        <v>0</v>
      </c>
      <c r="H48" s="604">
        <f t="shared" si="23"/>
        <v>0</v>
      </c>
      <c r="I48" s="601">
        <f t="shared" si="24"/>
        <v>0</v>
      </c>
      <c r="J48" s="606">
        <f t="shared" si="29"/>
        <v>0</v>
      </c>
      <c r="K48" s="608">
        <f t="shared" si="25"/>
        <v>0</v>
      </c>
      <c r="L48" s="602">
        <f t="shared" si="30"/>
        <v>0</v>
      </c>
      <c r="M48" s="602">
        <f t="shared" si="30"/>
        <v>0</v>
      </c>
      <c r="N48" s="602">
        <f t="shared" si="30"/>
        <v>0</v>
      </c>
      <c r="O48" s="602">
        <f t="shared" si="30"/>
        <v>0</v>
      </c>
      <c r="P48" s="602">
        <f t="shared" si="30"/>
        <v>0</v>
      </c>
      <c r="Q48" s="602">
        <f t="shared" si="30"/>
        <v>0</v>
      </c>
      <c r="R48" s="602">
        <f t="shared" si="30"/>
        <v>0</v>
      </c>
      <c r="S48" s="637">
        <f t="shared" si="26"/>
        <v>0</v>
      </c>
      <c r="T48" s="636">
        <f t="shared" si="27"/>
        <v>0</v>
      </c>
      <c r="U48" s="637" t="str">
        <f t="shared" si="28"/>
        <v/>
      </c>
      <c r="V48" s="590"/>
    </row>
    <row r="49" spans="2:22" ht="15.75" hidden="1" outlineLevel="1">
      <c r="B49" s="649">
        <f t="shared" si="22"/>
        <v>0</v>
      </c>
      <c r="C49" s="602">
        <f t="shared" si="22"/>
        <v>0</v>
      </c>
      <c r="D49" s="600">
        <f t="shared" si="22"/>
        <v>0</v>
      </c>
      <c r="E49" s="650">
        <f t="shared" si="22"/>
        <v>0</v>
      </c>
      <c r="F49" s="640">
        <f t="shared" si="22"/>
        <v>0</v>
      </c>
      <c r="G49" s="600">
        <f t="shared" si="22"/>
        <v>0</v>
      </c>
      <c r="H49" s="604">
        <f t="shared" si="23"/>
        <v>0</v>
      </c>
      <c r="I49" s="601">
        <f t="shared" si="24"/>
        <v>0</v>
      </c>
      <c r="J49" s="606">
        <f t="shared" si="29"/>
        <v>0</v>
      </c>
      <c r="K49" s="608">
        <f t="shared" si="25"/>
        <v>0</v>
      </c>
      <c r="L49" s="602">
        <f t="shared" si="30"/>
        <v>0</v>
      </c>
      <c r="M49" s="602">
        <f t="shared" si="30"/>
        <v>0</v>
      </c>
      <c r="N49" s="602">
        <f t="shared" si="30"/>
        <v>0</v>
      </c>
      <c r="O49" s="602">
        <f t="shared" si="30"/>
        <v>0</v>
      </c>
      <c r="P49" s="602">
        <f t="shared" si="30"/>
        <v>0</v>
      </c>
      <c r="Q49" s="602">
        <f t="shared" si="30"/>
        <v>0</v>
      </c>
      <c r="R49" s="602">
        <f t="shared" si="30"/>
        <v>0</v>
      </c>
      <c r="S49" s="637">
        <f t="shared" si="26"/>
        <v>0</v>
      </c>
      <c r="T49" s="636">
        <f t="shared" si="27"/>
        <v>0</v>
      </c>
      <c r="U49" s="637" t="str">
        <f t="shared" si="28"/>
        <v/>
      </c>
      <c r="V49" s="590"/>
    </row>
    <row r="50" spans="2:22" ht="15.75" hidden="1" outlineLevel="1">
      <c r="B50" s="649">
        <f t="shared" si="22"/>
        <v>0</v>
      </c>
      <c r="C50" s="602">
        <f t="shared" si="22"/>
        <v>0</v>
      </c>
      <c r="D50" s="600">
        <f t="shared" si="22"/>
        <v>0</v>
      </c>
      <c r="E50" s="650">
        <f t="shared" si="22"/>
        <v>0</v>
      </c>
      <c r="F50" s="640">
        <f t="shared" si="22"/>
        <v>0</v>
      </c>
      <c r="G50" s="600">
        <f t="shared" si="22"/>
        <v>0</v>
      </c>
      <c r="H50" s="604">
        <f t="shared" si="23"/>
        <v>0</v>
      </c>
      <c r="I50" s="601">
        <f t="shared" si="24"/>
        <v>0</v>
      </c>
      <c r="J50" s="606">
        <f t="shared" si="29"/>
        <v>0</v>
      </c>
      <c r="K50" s="608">
        <f t="shared" si="25"/>
        <v>0</v>
      </c>
      <c r="L50" s="602">
        <f t="shared" si="30"/>
        <v>0</v>
      </c>
      <c r="M50" s="602">
        <f t="shared" si="30"/>
        <v>0</v>
      </c>
      <c r="N50" s="602">
        <f t="shared" si="30"/>
        <v>0</v>
      </c>
      <c r="O50" s="602">
        <f t="shared" si="30"/>
        <v>0</v>
      </c>
      <c r="P50" s="602">
        <f t="shared" si="30"/>
        <v>0</v>
      </c>
      <c r="Q50" s="602">
        <f t="shared" si="30"/>
        <v>0</v>
      </c>
      <c r="R50" s="602">
        <f t="shared" si="30"/>
        <v>0</v>
      </c>
      <c r="S50" s="637">
        <f t="shared" si="26"/>
        <v>0</v>
      </c>
      <c r="T50" s="636">
        <f t="shared" si="27"/>
        <v>0</v>
      </c>
      <c r="U50" s="637" t="str">
        <f t="shared" si="28"/>
        <v/>
      </c>
      <c r="V50" s="590"/>
    </row>
    <row r="51" spans="2:22" ht="15.75" hidden="1" outlineLevel="1">
      <c r="B51" s="649">
        <f t="shared" si="22"/>
        <v>0</v>
      </c>
      <c r="C51" s="602">
        <f t="shared" si="22"/>
        <v>0</v>
      </c>
      <c r="D51" s="600">
        <f t="shared" si="22"/>
        <v>0</v>
      </c>
      <c r="E51" s="650">
        <f t="shared" si="22"/>
        <v>0</v>
      </c>
      <c r="F51" s="640">
        <f t="shared" si="22"/>
        <v>0</v>
      </c>
      <c r="G51" s="600">
        <f t="shared" si="22"/>
        <v>0</v>
      </c>
      <c r="H51" s="604">
        <f t="shared" si="23"/>
        <v>0</v>
      </c>
      <c r="I51" s="601">
        <f t="shared" si="24"/>
        <v>0</v>
      </c>
      <c r="J51" s="606">
        <f t="shared" si="29"/>
        <v>0</v>
      </c>
      <c r="K51" s="608">
        <f t="shared" si="25"/>
        <v>0</v>
      </c>
      <c r="L51" s="602">
        <f t="shared" si="30"/>
        <v>0</v>
      </c>
      <c r="M51" s="602">
        <f t="shared" si="30"/>
        <v>0</v>
      </c>
      <c r="N51" s="602">
        <f t="shared" si="30"/>
        <v>0</v>
      </c>
      <c r="O51" s="602">
        <f t="shared" si="30"/>
        <v>0</v>
      </c>
      <c r="P51" s="602">
        <f t="shared" si="30"/>
        <v>0</v>
      </c>
      <c r="Q51" s="602">
        <f t="shared" si="30"/>
        <v>0</v>
      </c>
      <c r="R51" s="602">
        <f t="shared" si="30"/>
        <v>0</v>
      </c>
      <c r="S51" s="637">
        <f t="shared" si="26"/>
        <v>0</v>
      </c>
      <c r="T51" s="636">
        <f t="shared" si="27"/>
        <v>0</v>
      </c>
      <c r="U51" s="637" t="str">
        <f t="shared" si="28"/>
        <v/>
      </c>
      <c r="V51" s="590"/>
    </row>
    <row r="52" spans="2:22" ht="15.75" hidden="1" outlineLevel="1">
      <c r="B52" s="649">
        <f t="shared" si="22"/>
        <v>0</v>
      </c>
      <c r="C52" s="602">
        <f t="shared" si="22"/>
        <v>0</v>
      </c>
      <c r="D52" s="600">
        <f t="shared" si="22"/>
        <v>0</v>
      </c>
      <c r="E52" s="650">
        <f t="shared" si="22"/>
        <v>0</v>
      </c>
      <c r="F52" s="640">
        <f t="shared" si="22"/>
        <v>0</v>
      </c>
      <c r="G52" s="600">
        <f t="shared" si="22"/>
        <v>0</v>
      </c>
      <c r="H52" s="604">
        <f t="shared" si="23"/>
        <v>0</v>
      </c>
      <c r="I52" s="601">
        <f t="shared" si="24"/>
        <v>0</v>
      </c>
      <c r="J52" s="606">
        <f t="shared" si="29"/>
        <v>0</v>
      </c>
      <c r="K52" s="608">
        <f t="shared" si="25"/>
        <v>0</v>
      </c>
      <c r="L52" s="602">
        <f t="shared" si="30"/>
        <v>0</v>
      </c>
      <c r="M52" s="602">
        <f t="shared" si="30"/>
        <v>0</v>
      </c>
      <c r="N52" s="602">
        <f t="shared" si="30"/>
        <v>0</v>
      </c>
      <c r="O52" s="602">
        <f t="shared" si="30"/>
        <v>0</v>
      </c>
      <c r="P52" s="602">
        <f t="shared" si="30"/>
        <v>0</v>
      </c>
      <c r="Q52" s="602">
        <f t="shared" si="30"/>
        <v>0</v>
      </c>
      <c r="R52" s="602">
        <f t="shared" si="30"/>
        <v>0</v>
      </c>
      <c r="S52" s="637">
        <f t="shared" si="26"/>
        <v>0</v>
      </c>
      <c r="T52" s="636">
        <f t="shared" si="27"/>
        <v>0</v>
      </c>
      <c r="U52" s="637" t="str">
        <f t="shared" si="28"/>
        <v/>
      </c>
      <c r="V52" s="590"/>
    </row>
    <row r="53" spans="2:22" ht="15.75" hidden="1" outlineLevel="1">
      <c r="B53" s="649">
        <f t="shared" si="22"/>
        <v>0</v>
      </c>
      <c r="C53" s="602">
        <f t="shared" si="22"/>
        <v>0</v>
      </c>
      <c r="D53" s="600">
        <f t="shared" si="22"/>
        <v>0</v>
      </c>
      <c r="E53" s="650">
        <f t="shared" si="22"/>
        <v>0</v>
      </c>
      <c r="F53" s="640">
        <f t="shared" si="22"/>
        <v>0</v>
      </c>
      <c r="G53" s="600">
        <f t="shared" si="22"/>
        <v>0</v>
      </c>
      <c r="H53" s="604">
        <f t="shared" si="23"/>
        <v>0</v>
      </c>
      <c r="I53" s="601">
        <f t="shared" si="24"/>
        <v>0</v>
      </c>
      <c r="J53" s="606">
        <f t="shared" si="29"/>
        <v>0</v>
      </c>
      <c r="K53" s="608">
        <f t="shared" si="25"/>
        <v>0</v>
      </c>
      <c r="L53" s="602">
        <f t="shared" si="30"/>
        <v>0</v>
      </c>
      <c r="M53" s="602">
        <f t="shared" si="30"/>
        <v>0</v>
      </c>
      <c r="N53" s="602">
        <f t="shared" si="30"/>
        <v>0</v>
      </c>
      <c r="O53" s="602">
        <f t="shared" si="30"/>
        <v>0</v>
      </c>
      <c r="P53" s="602">
        <f t="shared" si="30"/>
        <v>0</v>
      </c>
      <c r="Q53" s="602">
        <f t="shared" si="30"/>
        <v>0</v>
      </c>
      <c r="R53" s="602">
        <f t="shared" si="30"/>
        <v>0</v>
      </c>
      <c r="S53" s="637">
        <f t="shared" si="26"/>
        <v>0</v>
      </c>
      <c r="T53" s="636">
        <f t="shared" si="27"/>
        <v>0</v>
      </c>
      <c r="U53" s="637" t="str">
        <f t="shared" si="28"/>
        <v/>
      </c>
      <c r="V53" s="590"/>
    </row>
    <row r="54" spans="2:22" ht="15.75" hidden="1" outlineLevel="1">
      <c r="B54" s="649">
        <f t="shared" si="22"/>
        <v>0</v>
      </c>
      <c r="C54" s="602">
        <f t="shared" si="22"/>
        <v>0</v>
      </c>
      <c r="D54" s="600">
        <f t="shared" si="22"/>
        <v>0</v>
      </c>
      <c r="E54" s="650">
        <f t="shared" si="22"/>
        <v>0</v>
      </c>
      <c r="F54" s="640">
        <f t="shared" si="22"/>
        <v>0</v>
      </c>
      <c r="G54" s="600">
        <f t="shared" si="22"/>
        <v>0</v>
      </c>
      <c r="H54" s="604">
        <f t="shared" si="23"/>
        <v>0</v>
      </c>
      <c r="I54" s="601">
        <f t="shared" si="24"/>
        <v>0</v>
      </c>
      <c r="J54" s="606">
        <f t="shared" si="29"/>
        <v>0</v>
      </c>
      <c r="K54" s="608">
        <f t="shared" si="25"/>
        <v>0</v>
      </c>
      <c r="L54" s="602">
        <f t="shared" si="30"/>
        <v>0</v>
      </c>
      <c r="M54" s="602">
        <f t="shared" si="30"/>
        <v>0</v>
      </c>
      <c r="N54" s="602">
        <f t="shared" si="30"/>
        <v>0</v>
      </c>
      <c r="O54" s="602">
        <f t="shared" si="30"/>
        <v>0</v>
      </c>
      <c r="P54" s="602">
        <f t="shared" si="30"/>
        <v>0</v>
      </c>
      <c r="Q54" s="602">
        <f t="shared" si="30"/>
        <v>0</v>
      </c>
      <c r="R54" s="602">
        <f t="shared" si="30"/>
        <v>0</v>
      </c>
      <c r="S54" s="637">
        <f t="shared" si="26"/>
        <v>0</v>
      </c>
      <c r="T54" s="636">
        <f t="shared" si="27"/>
        <v>0</v>
      </c>
      <c r="U54" s="637" t="str">
        <f t="shared" si="28"/>
        <v/>
      </c>
      <c r="V54" s="590"/>
    </row>
    <row r="55" spans="2:22" ht="15.75" hidden="1" outlineLevel="1">
      <c r="B55" s="649">
        <f t="shared" si="22"/>
        <v>0</v>
      </c>
      <c r="C55" s="602">
        <f t="shared" si="22"/>
        <v>0</v>
      </c>
      <c r="D55" s="600">
        <f t="shared" si="22"/>
        <v>0</v>
      </c>
      <c r="E55" s="650">
        <f t="shared" si="22"/>
        <v>0</v>
      </c>
      <c r="F55" s="640">
        <f t="shared" si="22"/>
        <v>0</v>
      </c>
      <c r="G55" s="600">
        <f t="shared" si="22"/>
        <v>0</v>
      </c>
      <c r="H55" s="604">
        <f t="shared" si="23"/>
        <v>0</v>
      </c>
      <c r="I55" s="601">
        <f t="shared" si="24"/>
        <v>0</v>
      </c>
      <c r="J55" s="606">
        <f t="shared" si="29"/>
        <v>0</v>
      </c>
      <c r="K55" s="608">
        <f t="shared" si="25"/>
        <v>0</v>
      </c>
      <c r="L55" s="602">
        <f t="shared" si="30"/>
        <v>0</v>
      </c>
      <c r="M55" s="602">
        <f t="shared" si="30"/>
        <v>0</v>
      </c>
      <c r="N55" s="602">
        <f t="shared" si="30"/>
        <v>0</v>
      </c>
      <c r="O55" s="602">
        <f t="shared" si="30"/>
        <v>0</v>
      </c>
      <c r="P55" s="602">
        <f t="shared" si="30"/>
        <v>0</v>
      </c>
      <c r="Q55" s="602">
        <f t="shared" si="30"/>
        <v>0</v>
      </c>
      <c r="R55" s="602">
        <f t="shared" si="30"/>
        <v>0</v>
      </c>
      <c r="S55" s="637">
        <f t="shared" si="26"/>
        <v>0</v>
      </c>
      <c r="T55" s="636">
        <f t="shared" si="27"/>
        <v>0</v>
      </c>
      <c r="U55" s="637" t="str">
        <f t="shared" si="28"/>
        <v/>
      </c>
      <c r="V55" s="590"/>
    </row>
    <row r="56" spans="2:22" ht="15.75" hidden="1" outlineLevel="1">
      <c r="B56" s="649">
        <f t="shared" si="22"/>
        <v>0</v>
      </c>
      <c r="C56" s="602">
        <f t="shared" si="22"/>
        <v>0</v>
      </c>
      <c r="D56" s="600">
        <f t="shared" si="22"/>
        <v>0</v>
      </c>
      <c r="E56" s="650">
        <f t="shared" si="22"/>
        <v>0</v>
      </c>
      <c r="F56" s="640">
        <f t="shared" si="22"/>
        <v>0</v>
      </c>
      <c r="G56" s="600">
        <f t="shared" si="22"/>
        <v>0</v>
      </c>
      <c r="H56" s="604">
        <f t="shared" si="23"/>
        <v>0</v>
      </c>
      <c r="I56" s="601">
        <f t="shared" si="24"/>
        <v>0</v>
      </c>
      <c r="J56" s="606">
        <f t="shared" si="29"/>
        <v>0</v>
      </c>
      <c r="K56" s="608">
        <f t="shared" si="25"/>
        <v>0</v>
      </c>
      <c r="L56" s="602">
        <f t="shared" si="30"/>
        <v>0</v>
      </c>
      <c r="M56" s="602">
        <f t="shared" si="30"/>
        <v>0</v>
      </c>
      <c r="N56" s="602">
        <f t="shared" si="30"/>
        <v>0</v>
      </c>
      <c r="O56" s="602">
        <f t="shared" si="30"/>
        <v>0</v>
      </c>
      <c r="P56" s="602">
        <f t="shared" si="30"/>
        <v>0</v>
      </c>
      <c r="Q56" s="602">
        <f t="shared" si="30"/>
        <v>0</v>
      </c>
      <c r="R56" s="602">
        <f t="shared" si="30"/>
        <v>0</v>
      </c>
      <c r="S56" s="637">
        <f t="shared" si="26"/>
        <v>0</v>
      </c>
      <c r="T56" s="636">
        <f t="shared" si="27"/>
        <v>0</v>
      </c>
      <c r="U56" s="637" t="str">
        <f t="shared" si="28"/>
        <v/>
      </c>
      <c r="V56" s="590"/>
    </row>
    <row r="57" spans="2:22" ht="16.5" hidden="1" outlineLevel="1" thickBot="1">
      <c r="B57" s="651">
        <f t="shared" si="22"/>
        <v>0</v>
      </c>
      <c r="C57" s="647">
        <f t="shared" si="22"/>
        <v>0</v>
      </c>
      <c r="D57" s="642">
        <f t="shared" si="22"/>
        <v>0</v>
      </c>
      <c r="E57" s="652">
        <f t="shared" si="22"/>
        <v>0</v>
      </c>
      <c r="F57" s="641">
        <f t="shared" si="22"/>
        <v>0</v>
      </c>
      <c r="G57" s="642">
        <f t="shared" si="22"/>
        <v>0</v>
      </c>
      <c r="H57" s="643">
        <f t="shared" si="23"/>
        <v>0</v>
      </c>
      <c r="I57" s="644">
        <f t="shared" si="24"/>
        <v>0</v>
      </c>
      <c r="J57" s="645">
        <f t="shared" si="29"/>
        <v>0</v>
      </c>
      <c r="K57" s="646">
        <f t="shared" si="25"/>
        <v>0</v>
      </c>
      <c r="L57" s="647">
        <f t="shared" si="30"/>
        <v>0</v>
      </c>
      <c r="M57" s="647">
        <f t="shared" si="30"/>
        <v>0</v>
      </c>
      <c r="N57" s="647">
        <f t="shared" si="30"/>
        <v>0</v>
      </c>
      <c r="O57" s="647">
        <f t="shared" si="30"/>
        <v>0</v>
      </c>
      <c r="P57" s="647">
        <f t="shared" si="30"/>
        <v>0</v>
      </c>
      <c r="Q57" s="647">
        <f t="shared" si="30"/>
        <v>0</v>
      </c>
      <c r="R57" s="647">
        <f t="shared" si="30"/>
        <v>0</v>
      </c>
      <c r="S57" s="639">
        <f t="shared" si="26"/>
        <v>0</v>
      </c>
      <c r="T57" s="638">
        <f t="shared" si="27"/>
        <v>0</v>
      </c>
      <c r="U57" s="639" t="str">
        <f t="shared" si="28"/>
        <v/>
      </c>
      <c r="V57" s="590"/>
    </row>
    <row r="58" spans="2:22" collapsed="1"/>
    <row r="63" spans="2:22">
      <c r="T63" s="280" t="s">
        <v>46</v>
      </c>
    </row>
  </sheetData>
  <mergeCells count="9">
    <mergeCell ref="B41:E41"/>
    <mergeCell ref="B4:E4"/>
    <mergeCell ref="B23:E23"/>
    <mergeCell ref="T23:U23"/>
    <mergeCell ref="T41:U41"/>
    <mergeCell ref="T4:U4"/>
    <mergeCell ref="F4:S4"/>
    <mergeCell ref="F23:S23"/>
    <mergeCell ref="F41:S41"/>
  </mergeCells>
  <conditionalFormatting sqref="C1">
    <cfRule type="cellIs" dxfId="529" priority="9" operator="greaterThan">
      <formula>0</formula>
    </cfRule>
    <cfRule type="cellIs" dxfId="528" priority="10" operator="lessThan">
      <formula>0</formula>
    </cfRule>
  </conditionalFormatting>
  <conditionalFormatting sqref="E1">
    <cfRule type="cellIs" dxfId="527" priority="13" operator="greaterThan">
      <formula>0</formula>
    </cfRule>
    <cfRule type="cellIs" dxfId="526" priority="14" operator="lessThan">
      <formula>0</formula>
    </cfRule>
  </conditionalFormatting>
  <conditionalFormatting sqref="I2">
    <cfRule type="cellIs" dxfId="525" priority="7" operator="greaterThan">
      <formula>0</formula>
    </cfRule>
    <cfRule type="cellIs" dxfId="524" priority="8" operator="lessThan">
      <formula>0</formula>
    </cfRule>
  </conditionalFormatting>
  <conditionalFormatting sqref="I1">
    <cfRule type="cellIs" dxfId="523" priority="5" operator="greaterThan">
      <formula>0</formula>
    </cfRule>
    <cfRule type="cellIs" dxfId="522" priority="6" operator="lessThan">
      <formula>0</formula>
    </cfRule>
  </conditionalFormatting>
  <conditionalFormatting sqref="G3">
    <cfRule type="cellIs" dxfId="521" priority="3" operator="greaterThan">
      <formula>0</formula>
    </cfRule>
    <cfRule type="cellIs" dxfId="520" priority="4" operator="lessThan">
      <formula>0</formula>
    </cfRule>
  </conditionalFormatting>
  <conditionalFormatting sqref="E3">
    <cfRule type="cellIs" dxfId="519" priority="1" operator="greaterThan">
      <formula>0</formula>
    </cfRule>
    <cfRule type="cellIs" dxfId="518" priority="2" operator="lessThan">
      <formula>0</formula>
    </cfRule>
  </conditionalFormatting>
  <dataValidations count="1">
    <dataValidation type="decimal" operator="greaterThanOrEqual" allowBlank="1" showInputMessage="1" showErrorMessage="1" sqref="C6:D20 L6:R20 F6:G20" xr:uid="{00000000-0002-0000-0300-000000000000}">
      <formula1>0</formula1>
    </dataValidation>
  </dataValidations>
  <pageMargins left="0.7" right="0.7" top="0.75" bottom="0.75" header="0.3" footer="0.3"/>
  <pageSetup paperSize="9" scale="9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1000000}">
          <x14:formula1>
            <xm:f>DATOS!$L$2:$L$6</xm:f>
          </x14:formula1>
          <xm:sqref>I43:I57 E25:E39 E43:E57 I25:I39 E6:E20 I6:I20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9">
    <tabColor theme="4" tint="0.59999389629810485"/>
  </sheetPr>
  <dimension ref="A1:AS114"/>
  <sheetViews>
    <sheetView zoomScale="85" zoomScaleNormal="85" workbookViewId="0">
      <pane xSplit="9" ySplit="4" topLeftCell="AH5" activePane="bottomRight" state="frozen"/>
      <selection pane="topRight" activeCell="J1" sqref="J1"/>
      <selection pane="bottomLeft" activeCell="A5" sqref="A5"/>
      <selection pane="bottomRight" activeCell="J39" sqref="J39:AL59"/>
    </sheetView>
  </sheetViews>
  <sheetFormatPr baseColWidth="10" defaultColWidth="11.42578125" defaultRowHeight="15.75" outlineLevelRow="2" outlineLevelCol="1"/>
  <cols>
    <col min="1" max="1" width="22.28515625" style="313" customWidth="1"/>
    <col min="2" max="5" width="15.7109375" style="313" customWidth="1"/>
    <col min="6" max="6" width="15.140625" style="313" customWidth="1"/>
    <col min="7" max="7" width="14.28515625" style="314" customWidth="1"/>
    <col min="8" max="8" width="11.140625" style="314" customWidth="1"/>
    <col min="9" max="9" width="6.7109375" style="313" customWidth="1"/>
    <col min="10" max="13" width="9.7109375" style="313" customWidth="1"/>
    <col min="14" max="14" width="10.28515625" style="313" bestFit="1" customWidth="1"/>
    <col min="15" max="19" width="9.7109375" style="313" customWidth="1"/>
    <col min="20" max="20" width="11.28515625" style="313" customWidth="1"/>
    <col min="21" max="21" width="9.7109375" style="313" customWidth="1"/>
    <col min="22" max="45" width="9.7109375" style="313" customWidth="1" outlineLevel="1"/>
    <col min="46" max="16384" width="11.42578125" style="313"/>
  </cols>
  <sheetData>
    <row r="1" spans="1:45" ht="16.5" thickBot="1">
      <c r="A1" s="313" t="s">
        <v>46</v>
      </c>
      <c r="H1" s="314" t="s">
        <v>46</v>
      </c>
      <c r="J1" s="315" t="s">
        <v>121</v>
      </c>
      <c r="K1" s="316" t="s">
        <v>242</v>
      </c>
      <c r="L1" s="317">
        <f>+Ventas!F1</f>
        <v>0</v>
      </c>
      <c r="M1" s="318" t="s">
        <v>243</v>
      </c>
      <c r="N1" s="317">
        <f ca="1">+Resultados!$C$25</f>
        <v>0</v>
      </c>
      <c r="O1" s="316" t="s">
        <v>244</v>
      </c>
      <c r="P1" s="319" t="str">
        <f>+'Resultado x Actividad'!$S$15</f>
        <v/>
      </c>
      <c r="Q1" s="318" t="s">
        <v>245</v>
      </c>
      <c r="R1" s="302">
        <f ca="1">IF(ISERROR(+Resultados!$C$27),0,(+Resultados!$C$27))</f>
        <v>0</v>
      </c>
      <c r="S1" s="318" t="s">
        <v>246</v>
      </c>
      <c r="T1" s="317">
        <f ca="1">MIN('Tesorería mensual'!$C$47:$N$47)</f>
        <v>0</v>
      </c>
    </row>
    <row r="2" spans="1:45">
      <c r="A2" s="1239"/>
      <c r="B2" s="1240"/>
      <c r="C2" s="1240"/>
      <c r="D2" s="1240"/>
      <c r="E2" s="1240"/>
      <c r="F2" s="1240"/>
      <c r="G2" s="1240"/>
      <c r="H2" s="1240"/>
      <c r="I2" s="1240"/>
      <c r="J2" s="313" t="s">
        <v>866</v>
      </c>
    </row>
    <row r="3" spans="1:45">
      <c r="A3" s="320"/>
      <c r="B3" s="825"/>
      <c r="C3" s="825"/>
      <c r="D3" s="825"/>
      <c r="E3" s="825"/>
      <c r="F3" s="825"/>
      <c r="G3" s="320"/>
      <c r="H3" s="450"/>
      <c r="I3" s="320"/>
      <c r="J3" s="1241" t="s">
        <v>121</v>
      </c>
      <c r="K3" s="1241"/>
      <c r="L3" s="1241"/>
      <c r="M3" s="1241"/>
      <c r="N3" s="1241"/>
      <c r="O3" s="1241"/>
      <c r="P3" s="1241"/>
      <c r="Q3" s="1241"/>
      <c r="R3" s="1241"/>
      <c r="S3" s="1241"/>
      <c r="T3" s="1241"/>
      <c r="U3" s="1241"/>
      <c r="V3" s="1242" t="s">
        <v>122</v>
      </c>
      <c r="W3" s="1243"/>
      <c r="X3" s="1243"/>
      <c r="Y3" s="1243"/>
      <c r="Z3" s="1243"/>
      <c r="AA3" s="1243"/>
      <c r="AB3" s="1243"/>
      <c r="AC3" s="1243"/>
      <c r="AD3" s="1243"/>
      <c r="AE3" s="1243"/>
      <c r="AF3" s="1243"/>
      <c r="AG3" s="1244"/>
      <c r="AH3" s="1241" t="s">
        <v>123</v>
      </c>
      <c r="AI3" s="1241"/>
      <c r="AJ3" s="1241"/>
      <c r="AK3" s="1241"/>
      <c r="AL3" s="1241"/>
      <c r="AM3" s="1241"/>
      <c r="AN3" s="1241"/>
      <c r="AO3" s="1241"/>
      <c r="AP3" s="1241"/>
      <c r="AQ3" s="1241"/>
      <c r="AR3" s="1241"/>
      <c r="AS3" s="1241"/>
    </row>
    <row r="4" spans="1:45" ht="64.5" customHeight="1">
      <c r="A4" s="327" t="s">
        <v>855</v>
      </c>
      <c r="B4" s="831" t="s">
        <v>856</v>
      </c>
      <c r="C4" s="831" t="s">
        <v>857</v>
      </c>
      <c r="D4" s="831" t="s">
        <v>858</v>
      </c>
      <c r="E4" s="831" t="s">
        <v>859</v>
      </c>
      <c r="F4" s="831" t="s">
        <v>860</v>
      </c>
      <c r="G4" s="831" t="s">
        <v>861</v>
      </c>
      <c r="H4" s="329" t="s">
        <v>862</v>
      </c>
      <c r="I4" s="329"/>
      <c r="J4" s="808">
        <f>+Cuestionario!$C$11</f>
        <v>44197</v>
      </c>
      <c r="K4" s="808">
        <f>EDATE(J4,1)</f>
        <v>44228</v>
      </c>
      <c r="L4" s="808">
        <f t="shared" ref="L4:AS4" si="0">EDATE(K4,1)</f>
        <v>44256</v>
      </c>
      <c r="M4" s="808">
        <f t="shared" si="0"/>
        <v>44287</v>
      </c>
      <c r="N4" s="808">
        <f t="shared" si="0"/>
        <v>44317</v>
      </c>
      <c r="O4" s="808">
        <f t="shared" si="0"/>
        <v>44348</v>
      </c>
      <c r="P4" s="808">
        <f t="shared" si="0"/>
        <v>44378</v>
      </c>
      <c r="Q4" s="808">
        <f t="shared" si="0"/>
        <v>44409</v>
      </c>
      <c r="R4" s="808">
        <f t="shared" si="0"/>
        <v>44440</v>
      </c>
      <c r="S4" s="808">
        <f t="shared" si="0"/>
        <v>44470</v>
      </c>
      <c r="T4" s="808">
        <f t="shared" si="0"/>
        <v>44501</v>
      </c>
      <c r="U4" s="808">
        <f t="shared" si="0"/>
        <v>44531</v>
      </c>
      <c r="V4" s="809">
        <f t="shared" si="0"/>
        <v>44562</v>
      </c>
      <c r="W4" s="809">
        <f t="shared" si="0"/>
        <v>44593</v>
      </c>
      <c r="X4" s="809">
        <f t="shared" si="0"/>
        <v>44621</v>
      </c>
      <c r="Y4" s="809">
        <f t="shared" si="0"/>
        <v>44652</v>
      </c>
      <c r="Z4" s="809">
        <f t="shared" si="0"/>
        <v>44682</v>
      </c>
      <c r="AA4" s="809">
        <f t="shared" si="0"/>
        <v>44713</v>
      </c>
      <c r="AB4" s="809">
        <f t="shared" si="0"/>
        <v>44743</v>
      </c>
      <c r="AC4" s="809">
        <f t="shared" si="0"/>
        <v>44774</v>
      </c>
      <c r="AD4" s="809">
        <f t="shared" si="0"/>
        <v>44805</v>
      </c>
      <c r="AE4" s="809">
        <f t="shared" si="0"/>
        <v>44835</v>
      </c>
      <c r="AF4" s="809">
        <f t="shared" si="0"/>
        <v>44866</v>
      </c>
      <c r="AG4" s="809">
        <f t="shared" si="0"/>
        <v>44896</v>
      </c>
      <c r="AH4" s="808">
        <f t="shared" si="0"/>
        <v>44927</v>
      </c>
      <c r="AI4" s="808">
        <f t="shared" si="0"/>
        <v>44958</v>
      </c>
      <c r="AJ4" s="808">
        <f t="shared" si="0"/>
        <v>44986</v>
      </c>
      <c r="AK4" s="808">
        <f t="shared" si="0"/>
        <v>45017</v>
      </c>
      <c r="AL4" s="808">
        <f t="shared" si="0"/>
        <v>45047</v>
      </c>
      <c r="AM4" s="808">
        <f t="shared" si="0"/>
        <v>45078</v>
      </c>
      <c r="AN4" s="808">
        <f t="shared" si="0"/>
        <v>45108</v>
      </c>
      <c r="AO4" s="808">
        <f t="shared" si="0"/>
        <v>45139</v>
      </c>
      <c r="AP4" s="808">
        <f t="shared" si="0"/>
        <v>45170</v>
      </c>
      <c r="AQ4" s="808">
        <f t="shared" si="0"/>
        <v>45200</v>
      </c>
      <c r="AR4" s="808">
        <f t="shared" si="0"/>
        <v>45231</v>
      </c>
      <c r="AS4" s="808">
        <f t="shared" si="0"/>
        <v>45261</v>
      </c>
    </row>
    <row r="5" spans="1:45">
      <c r="A5" s="9">
        <v>1</v>
      </c>
      <c r="B5" s="840">
        <v>0</v>
      </c>
      <c r="C5" s="840">
        <f>+B5*0.33</f>
        <v>0</v>
      </c>
      <c r="D5" s="840">
        <f>+B5*0.064</f>
        <v>0</v>
      </c>
      <c r="E5" s="840">
        <f>+B5*0.2</f>
        <v>0</v>
      </c>
      <c r="F5" s="311">
        <f>+B5-D5-E5</f>
        <v>0</v>
      </c>
      <c r="G5" s="311">
        <f>+F5/12</f>
        <v>0</v>
      </c>
      <c r="H5" s="833">
        <f>AVERAGE(J5:U5)</f>
        <v>0</v>
      </c>
      <c r="I5" s="834"/>
      <c r="J5" s="835">
        <v>0</v>
      </c>
      <c r="K5" s="835">
        <f t="shared" ref="K5:K9" si="1">+J5</f>
        <v>0</v>
      </c>
      <c r="L5" s="835">
        <f t="shared" ref="L5:L9" si="2">+K5</f>
        <v>0</v>
      </c>
      <c r="M5" s="835">
        <f t="shared" ref="M5:M9" si="3">+L5</f>
        <v>0</v>
      </c>
      <c r="N5" s="835">
        <f t="shared" ref="N5:N9" si="4">+M5</f>
        <v>0</v>
      </c>
      <c r="O5" s="835">
        <f t="shared" ref="O5:O9" si="5">+N5</f>
        <v>0</v>
      </c>
      <c r="P5" s="835">
        <f t="shared" ref="P5:P9" si="6">+O5</f>
        <v>0</v>
      </c>
      <c r="Q5" s="835">
        <f t="shared" ref="Q5:Q9" si="7">+P5</f>
        <v>0</v>
      </c>
      <c r="R5" s="835">
        <f t="shared" ref="R5:R9" si="8">+Q5</f>
        <v>0</v>
      </c>
      <c r="S5" s="835">
        <f t="shared" ref="S5:V9" si="9">+R5</f>
        <v>0</v>
      </c>
      <c r="T5" s="835">
        <f t="shared" si="9"/>
        <v>0</v>
      </c>
      <c r="U5" s="835">
        <f t="shared" ref="U5:U9" si="10">+T5</f>
        <v>0</v>
      </c>
      <c r="V5" s="835">
        <f t="shared" si="9"/>
        <v>0</v>
      </c>
      <c r="W5" s="835">
        <f t="shared" ref="W5:W9" si="11">+V5</f>
        <v>0</v>
      </c>
      <c r="X5" s="835">
        <f t="shared" ref="X5:X9" si="12">+W5</f>
        <v>0</v>
      </c>
      <c r="Y5" s="835">
        <f t="shared" ref="Y5:Y9" si="13">+X5</f>
        <v>0</v>
      </c>
      <c r="Z5" s="835">
        <f t="shared" ref="Z5:Z9" si="14">+Y5</f>
        <v>0</v>
      </c>
      <c r="AA5" s="835">
        <f t="shared" ref="AA5:AA9" si="15">+Z5</f>
        <v>0</v>
      </c>
      <c r="AB5" s="835">
        <f t="shared" ref="AB5:AB9" si="16">+AA5</f>
        <v>0</v>
      </c>
      <c r="AC5" s="835">
        <f t="shared" ref="AC5:AC9" si="17">+AB5</f>
        <v>0</v>
      </c>
      <c r="AD5" s="835">
        <f t="shared" ref="AD5:AD9" si="18">+AC5</f>
        <v>0</v>
      </c>
      <c r="AE5" s="835">
        <f t="shared" ref="AE5:AE9" si="19">+AD5</f>
        <v>0</v>
      </c>
      <c r="AF5" s="835">
        <f t="shared" ref="AF5:AF9" si="20">+AE5</f>
        <v>0</v>
      </c>
      <c r="AG5" s="835">
        <f t="shared" ref="AG5:AG9" si="21">+AF5</f>
        <v>0</v>
      </c>
      <c r="AH5" s="835">
        <f t="shared" ref="AH5:AH9" si="22">+AG5</f>
        <v>0</v>
      </c>
      <c r="AI5" s="835">
        <f t="shared" ref="AI5:AI9" si="23">+AH5</f>
        <v>0</v>
      </c>
      <c r="AJ5" s="835">
        <f t="shared" ref="AJ5:AJ9" si="24">+AI5</f>
        <v>0</v>
      </c>
      <c r="AK5" s="835">
        <f t="shared" ref="AK5:AK9" si="25">+AJ5</f>
        <v>0</v>
      </c>
      <c r="AL5" s="835">
        <f t="shared" ref="AL5:AL9" si="26">+AK5</f>
        <v>0</v>
      </c>
      <c r="AM5" s="835">
        <f t="shared" ref="AM5:AM9" si="27">+AL5</f>
        <v>0</v>
      </c>
      <c r="AN5" s="835">
        <f t="shared" ref="AN5:AN9" si="28">+AM5</f>
        <v>0</v>
      </c>
      <c r="AO5" s="835">
        <f t="shared" ref="AO5:AO9" si="29">+AN5</f>
        <v>0</v>
      </c>
      <c r="AP5" s="835">
        <f t="shared" ref="AP5:AP9" si="30">+AO5</f>
        <v>0</v>
      </c>
      <c r="AQ5" s="835">
        <f t="shared" ref="AQ5:AQ9" si="31">+AP5</f>
        <v>0</v>
      </c>
      <c r="AR5" s="835">
        <f t="shared" ref="AR5:AR9" si="32">+AQ5</f>
        <v>0</v>
      </c>
      <c r="AS5" s="835">
        <f t="shared" ref="AS5:AS9" si="33">+AR5</f>
        <v>0</v>
      </c>
    </row>
    <row r="6" spans="1:45">
      <c r="A6" s="9">
        <v>2</v>
      </c>
      <c r="B6" s="840">
        <v>0</v>
      </c>
      <c r="C6" s="840">
        <f t="shared" ref="C6:C15" si="34">+B6*0.33</f>
        <v>0</v>
      </c>
      <c r="D6" s="840">
        <f t="shared" ref="D6:D15" si="35">+B6*0.064</f>
        <v>0</v>
      </c>
      <c r="E6" s="840">
        <f t="shared" ref="E6:E15" si="36">+B6*0.2</f>
        <v>0</v>
      </c>
      <c r="F6" s="311">
        <f t="shared" ref="F6:F33" si="37">+B6-D6-E6</f>
        <v>0</v>
      </c>
      <c r="G6" s="311">
        <f t="shared" ref="G6:G33" si="38">+F6/12</f>
        <v>0</v>
      </c>
      <c r="H6" s="833">
        <f t="shared" ref="H6:H34" si="39">AVERAGE(J6:U6)</f>
        <v>0</v>
      </c>
      <c r="I6" s="332"/>
      <c r="J6" s="835">
        <v>0</v>
      </c>
      <c r="K6" s="835">
        <f t="shared" si="1"/>
        <v>0</v>
      </c>
      <c r="L6" s="835">
        <f t="shared" si="2"/>
        <v>0</v>
      </c>
      <c r="M6" s="835">
        <f t="shared" si="3"/>
        <v>0</v>
      </c>
      <c r="N6" s="835">
        <f t="shared" si="4"/>
        <v>0</v>
      </c>
      <c r="O6" s="835">
        <f t="shared" si="5"/>
        <v>0</v>
      </c>
      <c r="P6" s="835">
        <f t="shared" si="6"/>
        <v>0</v>
      </c>
      <c r="Q6" s="835">
        <f t="shared" si="7"/>
        <v>0</v>
      </c>
      <c r="R6" s="835">
        <f t="shared" si="8"/>
        <v>0</v>
      </c>
      <c r="S6" s="835">
        <f t="shared" si="9"/>
        <v>0</v>
      </c>
      <c r="T6" s="835">
        <f t="shared" ref="T6:T9" si="40">+S6</f>
        <v>0</v>
      </c>
      <c r="U6" s="835">
        <f t="shared" si="10"/>
        <v>0</v>
      </c>
      <c r="V6" s="835">
        <f t="shared" ref="V6:V9" si="41">+U6</f>
        <v>0</v>
      </c>
      <c r="W6" s="835">
        <f t="shared" si="11"/>
        <v>0</v>
      </c>
      <c r="X6" s="835">
        <f t="shared" si="12"/>
        <v>0</v>
      </c>
      <c r="Y6" s="835">
        <f t="shared" si="13"/>
        <v>0</v>
      </c>
      <c r="Z6" s="835">
        <f t="shared" si="14"/>
        <v>0</v>
      </c>
      <c r="AA6" s="835">
        <f t="shared" si="15"/>
        <v>0</v>
      </c>
      <c r="AB6" s="835">
        <f t="shared" si="16"/>
        <v>0</v>
      </c>
      <c r="AC6" s="835">
        <f t="shared" si="17"/>
        <v>0</v>
      </c>
      <c r="AD6" s="835">
        <f t="shared" si="18"/>
        <v>0</v>
      </c>
      <c r="AE6" s="835">
        <f t="shared" si="19"/>
        <v>0</v>
      </c>
      <c r="AF6" s="835">
        <f t="shared" si="20"/>
        <v>0</v>
      </c>
      <c r="AG6" s="835">
        <f t="shared" si="21"/>
        <v>0</v>
      </c>
      <c r="AH6" s="835">
        <f t="shared" si="22"/>
        <v>0</v>
      </c>
      <c r="AI6" s="835">
        <f t="shared" si="23"/>
        <v>0</v>
      </c>
      <c r="AJ6" s="835">
        <f t="shared" si="24"/>
        <v>0</v>
      </c>
      <c r="AK6" s="835">
        <f t="shared" si="25"/>
        <v>0</v>
      </c>
      <c r="AL6" s="835">
        <f t="shared" si="26"/>
        <v>0</v>
      </c>
      <c r="AM6" s="835">
        <f t="shared" si="27"/>
        <v>0</v>
      </c>
      <c r="AN6" s="835">
        <f t="shared" si="28"/>
        <v>0</v>
      </c>
      <c r="AO6" s="835">
        <f t="shared" si="29"/>
        <v>0</v>
      </c>
      <c r="AP6" s="835">
        <f t="shared" si="30"/>
        <v>0</v>
      </c>
      <c r="AQ6" s="835">
        <f t="shared" si="31"/>
        <v>0</v>
      </c>
      <c r="AR6" s="835">
        <f t="shared" si="32"/>
        <v>0</v>
      </c>
      <c r="AS6" s="835">
        <f t="shared" si="33"/>
        <v>0</v>
      </c>
    </row>
    <row r="7" spans="1:45">
      <c r="A7" s="9">
        <v>3</v>
      </c>
      <c r="B7" s="840">
        <v>0</v>
      </c>
      <c r="C7" s="840">
        <f t="shared" si="34"/>
        <v>0</v>
      </c>
      <c r="D7" s="840">
        <f t="shared" si="35"/>
        <v>0</v>
      </c>
      <c r="E7" s="840">
        <f t="shared" si="36"/>
        <v>0</v>
      </c>
      <c r="F7" s="311">
        <f t="shared" si="37"/>
        <v>0</v>
      </c>
      <c r="G7" s="311">
        <f t="shared" si="38"/>
        <v>0</v>
      </c>
      <c r="H7" s="833">
        <f t="shared" si="39"/>
        <v>0</v>
      </c>
      <c r="I7" s="332"/>
      <c r="J7" s="835">
        <v>0</v>
      </c>
      <c r="K7" s="835">
        <f t="shared" si="1"/>
        <v>0</v>
      </c>
      <c r="L7" s="835">
        <f t="shared" si="2"/>
        <v>0</v>
      </c>
      <c r="M7" s="835">
        <f t="shared" si="3"/>
        <v>0</v>
      </c>
      <c r="N7" s="835">
        <f t="shared" si="4"/>
        <v>0</v>
      </c>
      <c r="O7" s="835">
        <f t="shared" si="5"/>
        <v>0</v>
      </c>
      <c r="P7" s="835">
        <f t="shared" si="6"/>
        <v>0</v>
      </c>
      <c r="Q7" s="835">
        <f t="shared" si="7"/>
        <v>0</v>
      </c>
      <c r="R7" s="835">
        <f t="shared" si="8"/>
        <v>0</v>
      </c>
      <c r="S7" s="835">
        <f t="shared" si="9"/>
        <v>0</v>
      </c>
      <c r="T7" s="835">
        <f t="shared" si="40"/>
        <v>0</v>
      </c>
      <c r="U7" s="835">
        <f t="shared" si="10"/>
        <v>0</v>
      </c>
      <c r="V7" s="835">
        <f t="shared" si="41"/>
        <v>0</v>
      </c>
      <c r="W7" s="835">
        <f t="shared" si="11"/>
        <v>0</v>
      </c>
      <c r="X7" s="835">
        <f t="shared" si="12"/>
        <v>0</v>
      </c>
      <c r="Y7" s="835">
        <f t="shared" si="13"/>
        <v>0</v>
      </c>
      <c r="Z7" s="835">
        <f t="shared" si="14"/>
        <v>0</v>
      </c>
      <c r="AA7" s="835">
        <f t="shared" si="15"/>
        <v>0</v>
      </c>
      <c r="AB7" s="835">
        <f t="shared" si="16"/>
        <v>0</v>
      </c>
      <c r="AC7" s="835">
        <f t="shared" si="17"/>
        <v>0</v>
      </c>
      <c r="AD7" s="835">
        <f t="shared" si="18"/>
        <v>0</v>
      </c>
      <c r="AE7" s="835">
        <f t="shared" si="19"/>
        <v>0</v>
      </c>
      <c r="AF7" s="835">
        <f t="shared" si="20"/>
        <v>0</v>
      </c>
      <c r="AG7" s="835">
        <f t="shared" si="21"/>
        <v>0</v>
      </c>
      <c r="AH7" s="835">
        <f t="shared" si="22"/>
        <v>0</v>
      </c>
      <c r="AI7" s="835">
        <f t="shared" si="23"/>
        <v>0</v>
      </c>
      <c r="AJ7" s="835">
        <f t="shared" si="24"/>
        <v>0</v>
      </c>
      <c r="AK7" s="835">
        <f t="shared" si="25"/>
        <v>0</v>
      </c>
      <c r="AL7" s="835">
        <f t="shared" si="26"/>
        <v>0</v>
      </c>
      <c r="AM7" s="835">
        <f t="shared" si="27"/>
        <v>0</v>
      </c>
      <c r="AN7" s="835">
        <f t="shared" si="28"/>
        <v>0</v>
      </c>
      <c r="AO7" s="835">
        <f t="shared" si="29"/>
        <v>0</v>
      </c>
      <c r="AP7" s="835">
        <f t="shared" si="30"/>
        <v>0</v>
      </c>
      <c r="AQ7" s="835">
        <f t="shared" si="31"/>
        <v>0</v>
      </c>
      <c r="AR7" s="835">
        <f t="shared" si="32"/>
        <v>0</v>
      </c>
      <c r="AS7" s="835">
        <f t="shared" si="33"/>
        <v>0</v>
      </c>
    </row>
    <row r="8" spans="1:45">
      <c r="A8" s="9">
        <v>4</v>
      </c>
      <c r="B8" s="840">
        <v>0</v>
      </c>
      <c r="C8" s="840">
        <f t="shared" si="34"/>
        <v>0</v>
      </c>
      <c r="D8" s="840">
        <f t="shared" si="35"/>
        <v>0</v>
      </c>
      <c r="E8" s="840">
        <f t="shared" si="36"/>
        <v>0</v>
      </c>
      <c r="F8" s="311">
        <f t="shared" si="37"/>
        <v>0</v>
      </c>
      <c r="G8" s="311">
        <f t="shared" si="38"/>
        <v>0</v>
      </c>
      <c r="H8" s="833">
        <f t="shared" si="39"/>
        <v>0</v>
      </c>
      <c r="I8" s="332"/>
      <c r="J8" s="835">
        <v>0</v>
      </c>
      <c r="K8" s="835">
        <f t="shared" si="1"/>
        <v>0</v>
      </c>
      <c r="L8" s="835">
        <f t="shared" si="2"/>
        <v>0</v>
      </c>
      <c r="M8" s="835">
        <f t="shared" si="3"/>
        <v>0</v>
      </c>
      <c r="N8" s="835">
        <f t="shared" si="4"/>
        <v>0</v>
      </c>
      <c r="O8" s="835">
        <f t="shared" si="5"/>
        <v>0</v>
      </c>
      <c r="P8" s="835">
        <f t="shared" si="6"/>
        <v>0</v>
      </c>
      <c r="Q8" s="835">
        <f t="shared" si="7"/>
        <v>0</v>
      </c>
      <c r="R8" s="835">
        <f t="shared" si="8"/>
        <v>0</v>
      </c>
      <c r="S8" s="835">
        <f t="shared" si="9"/>
        <v>0</v>
      </c>
      <c r="T8" s="835">
        <f t="shared" si="40"/>
        <v>0</v>
      </c>
      <c r="U8" s="835">
        <f t="shared" si="10"/>
        <v>0</v>
      </c>
      <c r="V8" s="835">
        <f t="shared" si="41"/>
        <v>0</v>
      </c>
      <c r="W8" s="835">
        <f t="shared" si="11"/>
        <v>0</v>
      </c>
      <c r="X8" s="835">
        <f t="shared" si="12"/>
        <v>0</v>
      </c>
      <c r="Y8" s="835">
        <f t="shared" si="13"/>
        <v>0</v>
      </c>
      <c r="Z8" s="835">
        <f t="shared" si="14"/>
        <v>0</v>
      </c>
      <c r="AA8" s="835">
        <f t="shared" si="15"/>
        <v>0</v>
      </c>
      <c r="AB8" s="835">
        <f t="shared" si="16"/>
        <v>0</v>
      </c>
      <c r="AC8" s="835">
        <f t="shared" si="17"/>
        <v>0</v>
      </c>
      <c r="AD8" s="835">
        <f t="shared" si="18"/>
        <v>0</v>
      </c>
      <c r="AE8" s="835">
        <f t="shared" si="19"/>
        <v>0</v>
      </c>
      <c r="AF8" s="835">
        <f t="shared" si="20"/>
        <v>0</v>
      </c>
      <c r="AG8" s="835">
        <f t="shared" si="21"/>
        <v>0</v>
      </c>
      <c r="AH8" s="835">
        <f t="shared" si="22"/>
        <v>0</v>
      </c>
      <c r="AI8" s="835">
        <f t="shared" si="23"/>
        <v>0</v>
      </c>
      <c r="AJ8" s="835">
        <f t="shared" si="24"/>
        <v>0</v>
      </c>
      <c r="AK8" s="835">
        <f t="shared" si="25"/>
        <v>0</v>
      </c>
      <c r="AL8" s="835">
        <f t="shared" si="26"/>
        <v>0</v>
      </c>
      <c r="AM8" s="835">
        <f t="shared" si="27"/>
        <v>0</v>
      </c>
      <c r="AN8" s="835">
        <f t="shared" si="28"/>
        <v>0</v>
      </c>
      <c r="AO8" s="835">
        <f t="shared" si="29"/>
        <v>0</v>
      </c>
      <c r="AP8" s="835">
        <f t="shared" si="30"/>
        <v>0</v>
      </c>
      <c r="AQ8" s="835">
        <f t="shared" si="31"/>
        <v>0</v>
      </c>
      <c r="AR8" s="835">
        <f t="shared" si="32"/>
        <v>0</v>
      </c>
      <c r="AS8" s="835">
        <f t="shared" si="33"/>
        <v>0</v>
      </c>
    </row>
    <row r="9" spans="1:45">
      <c r="A9" s="9">
        <v>5</v>
      </c>
      <c r="B9" s="840">
        <v>0</v>
      </c>
      <c r="C9" s="840">
        <f t="shared" si="34"/>
        <v>0</v>
      </c>
      <c r="D9" s="840">
        <f t="shared" si="35"/>
        <v>0</v>
      </c>
      <c r="E9" s="840">
        <f t="shared" si="36"/>
        <v>0</v>
      </c>
      <c r="F9" s="311">
        <f t="shared" si="37"/>
        <v>0</v>
      </c>
      <c r="G9" s="311">
        <f t="shared" si="38"/>
        <v>0</v>
      </c>
      <c r="H9" s="833">
        <f t="shared" si="39"/>
        <v>0</v>
      </c>
      <c r="I9" s="332"/>
      <c r="J9" s="835">
        <v>0</v>
      </c>
      <c r="K9" s="835">
        <f t="shared" si="1"/>
        <v>0</v>
      </c>
      <c r="L9" s="835">
        <f t="shared" si="2"/>
        <v>0</v>
      </c>
      <c r="M9" s="835">
        <f t="shared" si="3"/>
        <v>0</v>
      </c>
      <c r="N9" s="835">
        <f t="shared" si="4"/>
        <v>0</v>
      </c>
      <c r="O9" s="835">
        <f t="shared" si="5"/>
        <v>0</v>
      </c>
      <c r="P9" s="835">
        <f t="shared" si="6"/>
        <v>0</v>
      </c>
      <c r="Q9" s="835">
        <f t="shared" si="7"/>
        <v>0</v>
      </c>
      <c r="R9" s="835">
        <f t="shared" si="8"/>
        <v>0</v>
      </c>
      <c r="S9" s="835">
        <f t="shared" si="9"/>
        <v>0</v>
      </c>
      <c r="T9" s="835">
        <f t="shared" si="40"/>
        <v>0</v>
      </c>
      <c r="U9" s="835">
        <f t="shared" si="10"/>
        <v>0</v>
      </c>
      <c r="V9" s="835">
        <f t="shared" si="41"/>
        <v>0</v>
      </c>
      <c r="W9" s="835">
        <f t="shared" si="11"/>
        <v>0</v>
      </c>
      <c r="X9" s="835">
        <f t="shared" si="12"/>
        <v>0</v>
      </c>
      <c r="Y9" s="835">
        <f t="shared" si="13"/>
        <v>0</v>
      </c>
      <c r="Z9" s="835">
        <f t="shared" si="14"/>
        <v>0</v>
      </c>
      <c r="AA9" s="835">
        <f t="shared" si="15"/>
        <v>0</v>
      </c>
      <c r="AB9" s="835">
        <f t="shared" si="16"/>
        <v>0</v>
      </c>
      <c r="AC9" s="835">
        <f t="shared" si="17"/>
        <v>0</v>
      </c>
      <c r="AD9" s="835">
        <f t="shared" si="18"/>
        <v>0</v>
      </c>
      <c r="AE9" s="835">
        <f t="shared" si="19"/>
        <v>0</v>
      </c>
      <c r="AF9" s="835">
        <f t="shared" si="20"/>
        <v>0</v>
      </c>
      <c r="AG9" s="835">
        <f t="shared" si="21"/>
        <v>0</v>
      </c>
      <c r="AH9" s="835">
        <f t="shared" si="22"/>
        <v>0</v>
      </c>
      <c r="AI9" s="835">
        <f t="shared" si="23"/>
        <v>0</v>
      </c>
      <c r="AJ9" s="835">
        <f t="shared" si="24"/>
        <v>0</v>
      </c>
      <c r="AK9" s="835">
        <f t="shared" si="25"/>
        <v>0</v>
      </c>
      <c r="AL9" s="835">
        <f t="shared" si="26"/>
        <v>0</v>
      </c>
      <c r="AM9" s="835">
        <f t="shared" si="27"/>
        <v>0</v>
      </c>
      <c r="AN9" s="835">
        <f t="shared" si="28"/>
        <v>0</v>
      </c>
      <c r="AO9" s="835">
        <f t="shared" si="29"/>
        <v>0</v>
      </c>
      <c r="AP9" s="835">
        <f t="shared" si="30"/>
        <v>0</v>
      </c>
      <c r="AQ9" s="835">
        <f t="shared" si="31"/>
        <v>0</v>
      </c>
      <c r="AR9" s="835">
        <f t="shared" si="32"/>
        <v>0</v>
      </c>
      <c r="AS9" s="835">
        <f t="shared" si="33"/>
        <v>0</v>
      </c>
    </row>
    <row r="10" spans="1:45">
      <c r="A10" s="9">
        <v>6</v>
      </c>
      <c r="B10" s="840">
        <v>0</v>
      </c>
      <c r="C10" s="840">
        <f t="shared" si="34"/>
        <v>0</v>
      </c>
      <c r="D10" s="840">
        <f t="shared" si="35"/>
        <v>0</v>
      </c>
      <c r="E10" s="840">
        <f t="shared" si="36"/>
        <v>0</v>
      </c>
      <c r="F10" s="311">
        <f t="shared" si="37"/>
        <v>0</v>
      </c>
      <c r="G10" s="311">
        <f t="shared" si="38"/>
        <v>0</v>
      </c>
      <c r="H10" s="833">
        <f t="shared" si="39"/>
        <v>0</v>
      </c>
      <c r="I10" s="332"/>
      <c r="J10" s="835">
        <v>0</v>
      </c>
      <c r="K10" s="835">
        <f t="shared" ref="K10:Z25" si="42">+J10</f>
        <v>0</v>
      </c>
      <c r="L10" s="835">
        <f t="shared" si="42"/>
        <v>0</v>
      </c>
      <c r="M10" s="835">
        <f t="shared" si="42"/>
        <v>0</v>
      </c>
      <c r="N10" s="835">
        <f t="shared" si="42"/>
        <v>0</v>
      </c>
      <c r="O10" s="835">
        <f t="shared" si="42"/>
        <v>0</v>
      </c>
      <c r="P10" s="835">
        <f t="shared" si="42"/>
        <v>0</v>
      </c>
      <c r="Q10" s="835">
        <f t="shared" si="42"/>
        <v>0</v>
      </c>
      <c r="R10" s="835">
        <f t="shared" si="42"/>
        <v>0</v>
      </c>
      <c r="S10" s="835">
        <f t="shared" si="42"/>
        <v>0</v>
      </c>
      <c r="T10" s="835">
        <f t="shared" si="42"/>
        <v>0</v>
      </c>
      <c r="U10" s="835">
        <f t="shared" si="42"/>
        <v>0</v>
      </c>
      <c r="V10" s="835">
        <f t="shared" si="42"/>
        <v>0</v>
      </c>
      <c r="W10" s="835">
        <f t="shared" si="42"/>
        <v>0</v>
      </c>
      <c r="X10" s="835">
        <f t="shared" si="42"/>
        <v>0</v>
      </c>
      <c r="Y10" s="835">
        <f t="shared" si="42"/>
        <v>0</v>
      </c>
      <c r="Z10" s="835">
        <f t="shared" si="42"/>
        <v>0</v>
      </c>
      <c r="AA10" s="835">
        <f t="shared" ref="AA10:AP34" si="43">+Z10</f>
        <v>0</v>
      </c>
      <c r="AB10" s="835">
        <f t="shared" si="43"/>
        <v>0</v>
      </c>
      <c r="AC10" s="835">
        <f t="shared" si="43"/>
        <v>0</v>
      </c>
      <c r="AD10" s="835">
        <f t="shared" si="43"/>
        <v>0</v>
      </c>
      <c r="AE10" s="835">
        <f t="shared" si="43"/>
        <v>0</v>
      </c>
      <c r="AF10" s="835">
        <f t="shared" si="43"/>
        <v>0</v>
      </c>
      <c r="AG10" s="835">
        <f t="shared" si="43"/>
        <v>0</v>
      </c>
      <c r="AH10" s="835">
        <f t="shared" si="43"/>
        <v>0</v>
      </c>
      <c r="AI10" s="835">
        <f t="shared" si="43"/>
        <v>0</v>
      </c>
      <c r="AJ10" s="835">
        <f t="shared" si="43"/>
        <v>0</v>
      </c>
      <c r="AK10" s="835">
        <f t="shared" si="43"/>
        <v>0</v>
      </c>
      <c r="AL10" s="835">
        <f t="shared" si="43"/>
        <v>0</v>
      </c>
      <c r="AM10" s="835">
        <f t="shared" si="43"/>
        <v>0</v>
      </c>
      <c r="AN10" s="835">
        <f t="shared" si="43"/>
        <v>0</v>
      </c>
      <c r="AO10" s="835">
        <f t="shared" si="43"/>
        <v>0</v>
      </c>
      <c r="AP10" s="835">
        <f t="shared" si="43"/>
        <v>0</v>
      </c>
      <c r="AQ10" s="835">
        <f t="shared" ref="AQ10:AS34" si="44">+AP10</f>
        <v>0</v>
      </c>
      <c r="AR10" s="835">
        <f t="shared" si="44"/>
        <v>0</v>
      </c>
      <c r="AS10" s="835">
        <f t="shared" si="44"/>
        <v>0</v>
      </c>
    </row>
    <row r="11" spans="1:45">
      <c r="A11" s="9">
        <v>7</v>
      </c>
      <c r="B11" s="840">
        <v>0</v>
      </c>
      <c r="C11" s="840">
        <f t="shared" si="34"/>
        <v>0</v>
      </c>
      <c r="D11" s="840">
        <f t="shared" si="35"/>
        <v>0</v>
      </c>
      <c r="E11" s="840">
        <f t="shared" si="36"/>
        <v>0</v>
      </c>
      <c r="F11" s="311">
        <f t="shared" si="37"/>
        <v>0</v>
      </c>
      <c r="G11" s="311">
        <f t="shared" si="38"/>
        <v>0</v>
      </c>
      <c r="H11" s="833">
        <f t="shared" si="39"/>
        <v>0</v>
      </c>
      <c r="I11" s="332"/>
      <c r="J11" s="835">
        <v>0</v>
      </c>
      <c r="K11" s="835">
        <f t="shared" si="42"/>
        <v>0</v>
      </c>
      <c r="L11" s="835">
        <f t="shared" si="42"/>
        <v>0</v>
      </c>
      <c r="M11" s="835">
        <f t="shared" si="42"/>
        <v>0</v>
      </c>
      <c r="N11" s="835">
        <f t="shared" si="42"/>
        <v>0</v>
      </c>
      <c r="O11" s="835">
        <f t="shared" si="42"/>
        <v>0</v>
      </c>
      <c r="P11" s="835">
        <f t="shared" si="42"/>
        <v>0</v>
      </c>
      <c r="Q11" s="835">
        <f t="shared" si="42"/>
        <v>0</v>
      </c>
      <c r="R11" s="835">
        <f t="shared" si="42"/>
        <v>0</v>
      </c>
      <c r="S11" s="835">
        <f t="shared" si="42"/>
        <v>0</v>
      </c>
      <c r="T11" s="835">
        <f t="shared" si="42"/>
        <v>0</v>
      </c>
      <c r="U11" s="835">
        <f t="shared" si="42"/>
        <v>0</v>
      </c>
      <c r="V11" s="835">
        <f t="shared" si="42"/>
        <v>0</v>
      </c>
      <c r="W11" s="835">
        <f t="shared" si="42"/>
        <v>0</v>
      </c>
      <c r="X11" s="835">
        <f t="shared" si="42"/>
        <v>0</v>
      </c>
      <c r="Y11" s="835">
        <f t="shared" si="42"/>
        <v>0</v>
      </c>
      <c r="Z11" s="835">
        <f t="shared" si="42"/>
        <v>0</v>
      </c>
      <c r="AA11" s="835">
        <f t="shared" si="43"/>
        <v>0</v>
      </c>
      <c r="AB11" s="835">
        <f t="shared" si="43"/>
        <v>0</v>
      </c>
      <c r="AC11" s="835">
        <f t="shared" si="43"/>
        <v>0</v>
      </c>
      <c r="AD11" s="835">
        <f t="shared" si="43"/>
        <v>0</v>
      </c>
      <c r="AE11" s="835">
        <f t="shared" si="43"/>
        <v>0</v>
      </c>
      <c r="AF11" s="835">
        <f t="shared" si="43"/>
        <v>0</v>
      </c>
      <c r="AG11" s="835">
        <f t="shared" si="43"/>
        <v>0</v>
      </c>
      <c r="AH11" s="835">
        <f t="shared" si="43"/>
        <v>0</v>
      </c>
      <c r="AI11" s="835">
        <f t="shared" si="43"/>
        <v>0</v>
      </c>
      <c r="AJ11" s="835">
        <f t="shared" si="43"/>
        <v>0</v>
      </c>
      <c r="AK11" s="835">
        <f t="shared" si="43"/>
        <v>0</v>
      </c>
      <c r="AL11" s="835">
        <f t="shared" si="43"/>
        <v>0</v>
      </c>
      <c r="AM11" s="835">
        <f t="shared" si="43"/>
        <v>0</v>
      </c>
      <c r="AN11" s="835">
        <f t="shared" si="43"/>
        <v>0</v>
      </c>
      <c r="AO11" s="835">
        <f t="shared" si="43"/>
        <v>0</v>
      </c>
      <c r="AP11" s="835">
        <f t="shared" si="43"/>
        <v>0</v>
      </c>
      <c r="AQ11" s="835">
        <f t="shared" si="44"/>
        <v>0</v>
      </c>
      <c r="AR11" s="835">
        <f t="shared" si="44"/>
        <v>0</v>
      </c>
      <c r="AS11" s="835">
        <f t="shared" si="44"/>
        <v>0</v>
      </c>
    </row>
    <row r="12" spans="1:45">
      <c r="A12" s="9">
        <v>8</v>
      </c>
      <c r="B12" s="840">
        <v>0</v>
      </c>
      <c r="C12" s="840">
        <f t="shared" si="34"/>
        <v>0</v>
      </c>
      <c r="D12" s="840">
        <f t="shared" si="35"/>
        <v>0</v>
      </c>
      <c r="E12" s="840">
        <f t="shared" si="36"/>
        <v>0</v>
      </c>
      <c r="F12" s="311">
        <f t="shared" si="37"/>
        <v>0</v>
      </c>
      <c r="G12" s="311">
        <f t="shared" si="38"/>
        <v>0</v>
      </c>
      <c r="H12" s="833">
        <f t="shared" si="39"/>
        <v>0</v>
      </c>
      <c r="I12" s="332"/>
      <c r="J12" s="835">
        <v>0</v>
      </c>
      <c r="K12" s="835">
        <f t="shared" si="42"/>
        <v>0</v>
      </c>
      <c r="L12" s="835">
        <f t="shared" si="42"/>
        <v>0</v>
      </c>
      <c r="M12" s="835">
        <f t="shared" si="42"/>
        <v>0</v>
      </c>
      <c r="N12" s="835">
        <f t="shared" si="42"/>
        <v>0</v>
      </c>
      <c r="O12" s="835">
        <f t="shared" si="42"/>
        <v>0</v>
      </c>
      <c r="P12" s="835">
        <f t="shared" si="42"/>
        <v>0</v>
      </c>
      <c r="Q12" s="835">
        <f t="shared" si="42"/>
        <v>0</v>
      </c>
      <c r="R12" s="835">
        <f t="shared" si="42"/>
        <v>0</v>
      </c>
      <c r="S12" s="835">
        <f t="shared" si="42"/>
        <v>0</v>
      </c>
      <c r="T12" s="835">
        <f t="shared" si="42"/>
        <v>0</v>
      </c>
      <c r="U12" s="835">
        <f t="shared" si="42"/>
        <v>0</v>
      </c>
      <c r="V12" s="835">
        <f t="shared" si="42"/>
        <v>0</v>
      </c>
      <c r="W12" s="835">
        <f t="shared" si="42"/>
        <v>0</v>
      </c>
      <c r="X12" s="835">
        <f t="shared" si="42"/>
        <v>0</v>
      </c>
      <c r="Y12" s="835">
        <f t="shared" si="42"/>
        <v>0</v>
      </c>
      <c r="Z12" s="835">
        <f t="shared" si="42"/>
        <v>0</v>
      </c>
      <c r="AA12" s="835">
        <f t="shared" si="43"/>
        <v>0</v>
      </c>
      <c r="AB12" s="835">
        <f t="shared" si="43"/>
        <v>0</v>
      </c>
      <c r="AC12" s="835">
        <f t="shared" si="43"/>
        <v>0</v>
      </c>
      <c r="AD12" s="835">
        <f t="shared" si="43"/>
        <v>0</v>
      </c>
      <c r="AE12" s="835">
        <f t="shared" si="43"/>
        <v>0</v>
      </c>
      <c r="AF12" s="835">
        <f t="shared" si="43"/>
        <v>0</v>
      </c>
      <c r="AG12" s="835">
        <f t="shared" si="43"/>
        <v>0</v>
      </c>
      <c r="AH12" s="835">
        <f t="shared" si="43"/>
        <v>0</v>
      </c>
      <c r="AI12" s="835">
        <f t="shared" si="43"/>
        <v>0</v>
      </c>
      <c r="AJ12" s="835">
        <f t="shared" si="43"/>
        <v>0</v>
      </c>
      <c r="AK12" s="835">
        <f t="shared" si="43"/>
        <v>0</v>
      </c>
      <c r="AL12" s="835">
        <f t="shared" si="43"/>
        <v>0</v>
      </c>
      <c r="AM12" s="835">
        <f t="shared" si="43"/>
        <v>0</v>
      </c>
      <c r="AN12" s="835">
        <f t="shared" si="43"/>
        <v>0</v>
      </c>
      <c r="AO12" s="835">
        <f t="shared" si="43"/>
        <v>0</v>
      </c>
      <c r="AP12" s="835">
        <f t="shared" si="43"/>
        <v>0</v>
      </c>
      <c r="AQ12" s="835">
        <f t="shared" si="44"/>
        <v>0</v>
      </c>
      <c r="AR12" s="835">
        <f t="shared" si="44"/>
        <v>0</v>
      </c>
      <c r="AS12" s="835">
        <f t="shared" si="44"/>
        <v>0</v>
      </c>
    </row>
    <row r="13" spans="1:45">
      <c r="A13" s="9">
        <v>9</v>
      </c>
      <c r="B13" s="840">
        <v>0</v>
      </c>
      <c r="C13" s="840">
        <f t="shared" si="34"/>
        <v>0</v>
      </c>
      <c r="D13" s="840">
        <f t="shared" si="35"/>
        <v>0</v>
      </c>
      <c r="E13" s="840">
        <f t="shared" si="36"/>
        <v>0</v>
      </c>
      <c r="F13" s="311">
        <f t="shared" si="37"/>
        <v>0</v>
      </c>
      <c r="G13" s="311">
        <f t="shared" si="38"/>
        <v>0</v>
      </c>
      <c r="H13" s="833">
        <f t="shared" si="39"/>
        <v>0</v>
      </c>
      <c r="I13" s="332"/>
      <c r="J13" s="835">
        <v>0</v>
      </c>
      <c r="K13" s="835">
        <f t="shared" si="42"/>
        <v>0</v>
      </c>
      <c r="L13" s="835">
        <f t="shared" si="42"/>
        <v>0</v>
      </c>
      <c r="M13" s="835">
        <f t="shared" si="42"/>
        <v>0</v>
      </c>
      <c r="N13" s="835">
        <f t="shared" si="42"/>
        <v>0</v>
      </c>
      <c r="O13" s="835">
        <f t="shared" si="42"/>
        <v>0</v>
      </c>
      <c r="P13" s="835">
        <f t="shared" si="42"/>
        <v>0</v>
      </c>
      <c r="Q13" s="835">
        <f t="shared" si="42"/>
        <v>0</v>
      </c>
      <c r="R13" s="835">
        <f t="shared" si="42"/>
        <v>0</v>
      </c>
      <c r="S13" s="835">
        <f t="shared" si="42"/>
        <v>0</v>
      </c>
      <c r="T13" s="835">
        <f t="shared" si="42"/>
        <v>0</v>
      </c>
      <c r="U13" s="835">
        <f t="shared" si="42"/>
        <v>0</v>
      </c>
      <c r="V13" s="835">
        <f t="shared" si="42"/>
        <v>0</v>
      </c>
      <c r="W13" s="835">
        <f t="shared" si="42"/>
        <v>0</v>
      </c>
      <c r="X13" s="835">
        <f t="shared" si="42"/>
        <v>0</v>
      </c>
      <c r="Y13" s="835">
        <f t="shared" si="42"/>
        <v>0</v>
      </c>
      <c r="Z13" s="835">
        <f t="shared" si="42"/>
        <v>0</v>
      </c>
      <c r="AA13" s="835">
        <f t="shared" si="43"/>
        <v>0</v>
      </c>
      <c r="AB13" s="835">
        <f t="shared" si="43"/>
        <v>0</v>
      </c>
      <c r="AC13" s="835">
        <f t="shared" si="43"/>
        <v>0</v>
      </c>
      <c r="AD13" s="835">
        <f t="shared" si="43"/>
        <v>0</v>
      </c>
      <c r="AE13" s="835">
        <f t="shared" si="43"/>
        <v>0</v>
      </c>
      <c r="AF13" s="835">
        <f t="shared" si="43"/>
        <v>0</v>
      </c>
      <c r="AG13" s="835">
        <f t="shared" si="43"/>
        <v>0</v>
      </c>
      <c r="AH13" s="835">
        <f t="shared" si="43"/>
        <v>0</v>
      </c>
      <c r="AI13" s="835">
        <f t="shared" si="43"/>
        <v>0</v>
      </c>
      <c r="AJ13" s="835">
        <f t="shared" si="43"/>
        <v>0</v>
      </c>
      <c r="AK13" s="835">
        <f t="shared" si="43"/>
        <v>0</v>
      </c>
      <c r="AL13" s="835">
        <f t="shared" si="43"/>
        <v>0</v>
      </c>
      <c r="AM13" s="835">
        <f t="shared" si="43"/>
        <v>0</v>
      </c>
      <c r="AN13" s="835">
        <f t="shared" si="43"/>
        <v>0</v>
      </c>
      <c r="AO13" s="835">
        <f t="shared" si="43"/>
        <v>0</v>
      </c>
      <c r="AP13" s="835">
        <f t="shared" si="43"/>
        <v>0</v>
      </c>
      <c r="AQ13" s="835">
        <f t="shared" si="44"/>
        <v>0</v>
      </c>
      <c r="AR13" s="835">
        <f t="shared" si="44"/>
        <v>0</v>
      </c>
      <c r="AS13" s="835">
        <f t="shared" si="44"/>
        <v>0</v>
      </c>
    </row>
    <row r="14" spans="1:45">
      <c r="A14" s="9">
        <v>10</v>
      </c>
      <c r="B14" s="840">
        <v>0</v>
      </c>
      <c r="C14" s="840">
        <f t="shared" si="34"/>
        <v>0</v>
      </c>
      <c r="D14" s="840">
        <f t="shared" si="35"/>
        <v>0</v>
      </c>
      <c r="E14" s="840">
        <f t="shared" si="36"/>
        <v>0</v>
      </c>
      <c r="F14" s="311">
        <f t="shared" si="37"/>
        <v>0</v>
      </c>
      <c r="G14" s="311">
        <f t="shared" si="38"/>
        <v>0</v>
      </c>
      <c r="H14" s="833">
        <f t="shared" si="39"/>
        <v>0</v>
      </c>
      <c r="I14" s="332"/>
      <c r="J14" s="835">
        <v>0</v>
      </c>
      <c r="K14" s="835">
        <f t="shared" si="42"/>
        <v>0</v>
      </c>
      <c r="L14" s="835">
        <f t="shared" si="42"/>
        <v>0</v>
      </c>
      <c r="M14" s="835">
        <f t="shared" si="42"/>
        <v>0</v>
      </c>
      <c r="N14" s="835">
        <f t="shared" si="42"/>
        <v>0</v>
      </c>
      <c r="O14" s="835">
        <f t="shared" si="42"/>
        <v>0</v>
      </c>
      <c r="P14" s="835">
        <f t="shared" si="42"/>
        <v>0</v>
      </c>
      <c r="Q14" s="835">
        <f t="shared" si="42"/>
        <v>0</v>
      </c>
      <c r="R14" s="835">
        <f t="shared" si="42"/>
        <v>0</v>
      </c>
      <c r="S14" s="835">
        <f t="shared" si="42"/>
        <v>0</v>
      </c>
      <c r="T14" s="835">
        <f t="shared" si="42"/>
        <v>0</v>
      </c>
      <c r="U14" s="835">
        <f t="shared" si="42"/>
        <v>0</v>
      </c>
      <c r="V14" s="835">
        <f t="shared" si="42"/>
        <v>0</v>
      </c>
      <c r="W14" s="835">
        <f t="shared" si="42"/>
        <v>0</v>
      </c>
      <c r="X14" s="835">
        <f t="shared" si="42"/>
        <v>0</v>
      </c>
      <c r="Y14" s="835">
        <f t="shared" si="42"/>
        <v>0</v>
      </c>
      <c r="Z14" s="835">
        <f t="shared" si="42"/>
        <v>0</v>
      </c>
      <c r="AA14" s="835">
        <f t="shared" si="43"/>
        <v>0</v>
      </c>
      <c r="AB14" s="835">
        <f t="shared" si="43"/>
        <v>0</v>
      </c>
      <c r="AC14" s="835">
        <f t="shared" si="43"/>
        <v>0</v>
      </c>
      <c r="AD14" s="835">
        <f t="shared" si="43"/>
        <v>0</v>
      </c>
      <c r="AE14" s="835">
        <f t="shared" si="43"/>
        <v>0</v>
      </c>
      <c r="AF14" s="835">
        <f t="shared" si="43"/>
        <v>0</v>
      </c>
      <c r="AG14" s="835">
        <f t="shared" si="43"/>
        <v>0</v>
      </c>
      <c r="AH14" s="835">
        <f t="shared" si="43"/>
        <v>0</v>
      </c>
      <c r="AI14" s="835">
        <f t="shared" si="43"/>
        <v>0</v>
      </c>
      <c r="AJ14" s="835">
        <f t="shared" si="43"/>
        <v>0</v>
      </c>
      <c r="AK14" s="835">
        <f t="shared" si="43"/>
        <v>0</v>
      </c>
      <c r="AL14" s="835">
        <f t="shared" si="43"/>
        <v>0</v>
      </c>
      <c r="AM14" s="835">
        <f t="shared" si="43"/>
        <v>0</v>
      </c>
      <c r="AN14" s="835">
        <f t="shared" si="43"/>
        <v>0</v>
      </c>
      <c r="AO14" s="835">
        <f t="shared" si="43"/>
        <v>0</v>
      </c>
      <c r="AP14" s="835">
        <f t="shared" si="43"/>
        <v>0</v>
      </c>
      <c r="AQ14" s="835">
        <f t="shared" si="44"/>
        <v>0</v>
      </c>
      <c r="AR14" s="835">
        <f t="shared" si="44"/>
        <v>0</v>
      </c>
      <c r="AS14" s="835">
        <f t="shared" si="44"/>
        <v>0</v>
      </c>
    </row>
    <row r="15" spans="1:45" hidden="1" outlineLevel="1">
      <c r="A15" s="9">
        <v>11</v>
      </c>
      <c r="B15" s="832"/>
      <c r="C15" s="840">
        <f t="shared" si="34"/>
        <v>0</v>
      </c>
      <c r="D15" s="840">
        <f t="shared" si="35"/>
        <v>0</v>
      </c>
      <c r="E15" s="832">
        <f t="shared" si="36"/>
        <v>0</v>
      </c>
      <c r="F15" s="311">
        <f t="shared" si="37"/>
        <v>0</v>
      </c>
      <c r="G15" s="311">
        <f t="shared" si="38"/>
        <v>0</v>
      </c>
      <c r="H15" s="833">
        <f t="shared" si="39"/>
        <v>0</v>
      </c>
      <c r="I15" s="332"/>
      <c r="J15" s="835">
        <v>0</v>
      </c>
      <c r="K15" s="835">
        <f t="shared" si="42"/>
        <v>0</v>
      </c>
      <c r="L15" s="835">
        <f t="shared" si="42"/>
        <v>0</v>
      </c>
      <c r="M15" s="835">
        <f t="shared" si="42"/>
        <v>0</v>
      </c>
      <c r="N15" s="835">
        <f t="shared" si="42"/>
        <v>0</v>
      </c>
      <c r="O15" s="835">
        <f t="shared" si="42"/>
        <v>0</v>
      </c>
      <c r="P15" s="835">
        <f t="shared" si="42"/>
        <v>0</v>
      </c>
      <c r="Q15" s="835">
        <f t="shared" si="42"/>
        <v>0</v>
      </c>
      <c r="R15" s="835">
        <f t="shared" si="42"/>
        <v>0</v>
      </c>
      <c r="S15" s="835">
        <f t="shared" si="42"/>
        <v>0</v>
      </c>
      <c r="T15" s="835">
        <f t="shared" si="42"/>
        <v>0</v>
      </c>
      <c r="U15" s="835">
        <f t="shared" si="42"/>
        <v>0</v>
      </c>
      <c r="V15" s="835">
        <f t="shared" si="42"/>
        <v>0</v>
      </c>
      <c r="W15" s="835">
        <f t="shared" si="42"/>
        <v>0</v>
      </c>
      <c r="X15" s="835">
        <f t="shared" si="42"/>
        <v>0</v>
      </c>
      <c r="Y15" s="835">
        <f t="shared" si="42"/>
        <v>0</v>
      </c>
      <c r="Z15" s="835">
        <f t="shared" si="42"/>
        <v>0</v>
      </c>
      <c r="AA15" s="835">
        <f t="shared" si="43"/>
        <v>0</v>
      </c>
      <c r="AB15" s="835">
        <f t="shared" si="43"/>
        <v>0</v>
      </c>
      <c r="AC15" s="835">
        <f t="shared" si="43"/>
        <v>0</v>
      </c>
      <c r="AD15" s="835">
        <f t="shared" si="43"/>
        <v>0</v>
      </c>
      <c r="AE15" s="835">
        <f t="shared" si="43"/>
        <v>0</v>
      </c>
      <c r="AF15" s="835">
        <f t="shared" si="43"/>
        <v>0</v>
      </c>
      <c r="AG15" s="835">
        <f t="shared" si="43"/>
        <v>0</v>
      </c>
      <c r="AH15" s="835">
        <f t="shared" si="43"/>
        <v>0</v>
      </c>
      <c r="AI15" s="835">
        <f t="shared" si="43"/>
        <v>0</v>
      </c>
      <c r="AJ15" s="835">
        <f t="shared" si="43"/>
        <v>0</v>
      </c>
      <c r="AK15" s="835">
        <f t="shared" si="43"/>
        <v>0</v>
      </c>
      <c r="AL15" s="835">
        <f t="shared" si="43"/>
        <v>0</v>
      </c>
      <c r="AM15" s="835">
        <f t="shared" si="43"/>
        <v>0</v>
      </c>
      <c r="AN15" s="835">
        <f t="shared" si="43"/>
        <v>0</v>
      </c>
      <c r="AO15" s="835">
        <f t="shared" si="43"/>
        <v>0</v>
      </c>
      <c r="AP15" s="835">
        <f t="shared" si="43"/>
        <v>0</v>
      </c>
      <c r="AQ15" s="835">
        <f t="shared" si="44"/>
        <v>0</v>
      </c>
      <c r="AR15" s="835">
        <f t="shared" si="44"/>
        <v>0</v>
      </c>
      <c r="AS15" s="835">
        <f t="shared" si="44"/>
        <v>0</v>
      </c>
    </row>
    <row r="16" spans="1:45" hidden="1" outlineLevel="1">
      <c r="A16" s="9">
        <v>12</v>
      </c>
      <c r="B16" s="832"/>
      <c r="C16" s="840">
        <f t="shared" ref="C16:C34" si="45">+B16*0.33</f>
        <v>0</v>
      </c>
      <c r="D16" s="840">
        <f t="shared" ref="D16:D34" si="46">+B16*0.064</f>
        <v>0</v>
      </c>
      <c r="E16" s="832">
        <f t="shared" ref="E16:E34" si="47">+B16*0.2</f>
        <v>0</v>
      </c>
      <c r="F16" s="311">
        <f t="shared" si="37"/>
        <v>0</v>
      </c>
      <c r="G16" s="311">
        <f t="shared" si="38"/>
        <v>0</v>
      </c>
      <c r="H16" s="833">
        <f t="shared" si="39"/>
        <v>0</v>
      </c>
      <c r="I16" s="332"/>
      <c r="J16" s="835">
        <v>0</v>
      </c>
      <c r="K16" s="835">
        <f t="shared" si="42"/>
        <v>0</v>
      </c>
      <c r="L16" s="835">
        <f t="shared" si="42"/>
        <v>0</v>
      </c>
      <c r="M16" s="835">
        <f t="shared" si="42"/>
        <v>0</v>
      </c>
      <c r="N16" s="835">
        <f t="shared" si="42"/>
        <v>0</v>
      </c>
      <c r="O16" s="835">
        <f t="shared" si="42"/>
        <v>0</v>
      </c>
      <c r="P16" s="835">
        <f t="shared" si="42"/>
        <v>0</v>
      </c>
      <c r="Q16" s="835">
        <f t="shared" si="42"/>
        <v>0</v>
      </c>
      <c r="R16" s="835">
        <f t="shared" si="42"/>
        <v>0</v>
      </c>
      <c r="S16" s="835">
        <f t="shared" si="42"/>
        <v>0</v>
      </c>
      <c r="T16" s="835">
        <f t="shared" si="42"/>
        <v>0</v>
      </c>
      <c r="U16" s="835">
        <f t="shared" si="42"/>
        <v>0</v>
      </c>
      <c r="V16" s="835">
        <f t="shared" si="42"/>
        <v>0</v>
      </c>
      <c r="W16" s="835">
        <f t="shared" si="42"/>
        <v>0</v>
      </c>
      <c r="X16" s="835">
        <f t="shared" si="42"/>
        <v>0</v>
      </c>
      <c r="Y16" s="835">
        <f t="shared" si="42"/>
        <v>0</v>
      </c>
      <c r="Z16" s="835">
        <f t="shared" si="42"/>
        <v>0</v>
      </c>
      <c r="AA16" s="835">
        <f t="shared" si="43"/>
        <v>0</v>
      </c>
      <c r="AB16" s="835">
        <f t="shared" si="43"/>
        <v>0</v>
      </c>
      <c r="AC16" s="835">
        <f t="shared" si="43"/>
        <v>0</v>
      </c>
      <c r="AD16" s="835">
        <f t="shared" si="43"/>
        <v>0</v>
      </c>
      <c r="AE16" s="835">
        <f t="shared" si="43"/>
        <v>0</v>
      </c>
      <c r="AF16" s="835">
        <f t="shared" si="43"/>
        <v>0</v>
      </c>
      <c r="AG16" s="835">
        <f t="shared" si="43"/>
        <v>0</v>
      </c>
      <c r="AH16" s="835">
        <f t="shared" si="43"/>
        <v>0</v>
      </c>
      <c r="AI16" s="835">
        <f t="shared" si="43"/>
        <v>0</v>
      </c>
      <c r="AJ16" s="835">
        <f t="shared" si="43"/>
        <v>0</v>
      </c>
      <c r="AK16" s="835">
        <f t="shared" si="43"/>
        <v>0</v>
      </c>
      <c r="AL16" s="835">
        <f t="shared" si="43"/>
        <v>0</v>
      </c>
      <c r="AM16" s="835">
        <f t="shared" si="43"/>
        <v>0</v>
      </c>
      <c r="AN16" s="835">
        <f t="shared" si="43"/>
        <v>0</v>
      </c>
      <c r="AO16" s="835">
        <f t="shared" si="43"/>
        <v>0</v>
      </c>
      <c r="AP16" s="835">
        <f t="shared" si="43"/>
        <v>0</v>
      </c>
      <c r="AQ16" s="835">
        <f t="shared" si="44"/>
        <v>0</v>
      </c>
      <c r="AR16" s="835">
        <f t="shared" si="44"/>
        <v>0</v>
      </c>
      <c r="AS16" s="835">
        <f t="shared" si="44"/>
        <v>0</v>
      </c>
    </row>
    <row r="17" spans="1:45" hidden="1" outlineLevel="1">
      <c r="A17" s="9">
        <v>13</v>
      </c>
      <c r="B17" s="832"/>
      <c r="C17" s="840">
        <f t="shared" si="45"/>
        <v>0</v>
      </c>
      <c r="D17" s="840">
        <f t="shared" si="46"/>
        <v>0</v>
      </c>
      <c r="E17" s="832">
        <f t="shared" si="47"/>
        <v>0</v>
      </c>
      <c r="F17" s="311">
        <f t="shared" si="37"/>
        <v>0</v>
      </c>
      <c r="G17" s="311">
        <f t="shared" si="38"/>
        <v>0</v>
      </c>
      <c r="H17" s="833">
        <f t="shared" si="39"/>
        <v>0</v>
      </c>
      <c r="I17" s="332"/>
      <c r="J17" s="835">
        <v>0</v>
      </c>
      <c r="K17" s="835">
        <f t="shared" si="42"/>
        <v>0</v>
      </c>
      <c r="L17" s="835">
        <f t="shared" si="42"/>
        <v>0</v>
      </c>
      <c r="M17" s="835">
        <f t="shared" si="42"/>
        <v>0</v>
      </c>
      <c r="N17" s="835">
        <f t="shared" si="42"/>
        <v>0</v>
      </c>
      <c r="O17" s="835">
        <f t="shared" si="42"/>
        <v>0</v>
      </c>
      <c r="P17" s="835">
        <f t="shared" si="42"/>
        <v>0</v>
      </c>
      <c r="Q17" s="835">
        <f t="shared" si="42"/>
        <v>0</v>
      </c>
      <c r="R17" s="835">
        <f t="shared" si="42"/>
        <v>0</v>
      </c>
      <c r="S17" s="835">
        <f t="shared" si="42"/>
        <v>0</v>
      </c>
      <c r="T17" s="835">
        <f t="shared" si="42"/>
        <v>0</v>
      </c>
      <c r="U17" s="835">
        <f t="shared" si="42"/>
        <v>0</v>
      </c>
      <c r="V17" s="835">
        <f t="shared" si="42"/>
        <v>0</v>
      </c>
      <c r="W17" s="835">
        <f t="shared" si="42"/>
        <v>0</v>
      </c>
      <c r="X17" s="835">
        <f t="shared" si="42"/>
        <v>0</v>
      </c>
      <c r="Y17" s="835">
        <f t="shared" si="42"/>
        <v>0</v>
      </c>
      <c r="Z17" s="835">
        <f t="shared" si="42"/>
        <v>0</v>
      </c>
      <c r="AA17" s="835">
        <f t="shared" si="43"/>
        <v>0</v>
      </c>
      <c r="AB17" s="835">
        <f t="shared" si="43"/>
        <v>0</v>
      </c>
      <c r="AC17" s="835">
        <f t="shared" si="43"/>
        <v>0</v>
      </c>
      <c r="AD17" s="835">
        <f t="shared" si="43"/>
        <v>0</v>
      </c>
      <c r="AE17" s="835">
        <f t="shared" si="43"/>
        <v>0</v>
      </c>
      <c r="AF17" s="835">
        <f t="shared" si="43"/>
        <v>0</v>
      </c>
      <c r="AG17" s="835">
        <f t="shared" si="43"/>
        <v>0</v>
      </c>
      <c r="AH17" s="835">
        <f t="shared" si="43"/>
        <v>0</v>
      </c>
      <c r="AI17" s="835">
        <f t="shared" si="43"/>
        <v>0</v>
      </c>
      <c r="AJ17" s="835">
        <f t="shared" si="43"/>
        <v>0</v>
      </c>
      <c r="AK17" s="835">
        <f t="shared" si="43"/>
        <v>0</v>
      </c>
      <c r="AL17" s="835">
        <f t="shared" si="43"/>
        <v>0</v>
      </c>
      <c r="AM17" s="835">
        <f t="shared" si="43"/>
        <v>0</v>
      </c>
      <c r="AN17" s="835">
        <f t="shared" si="43"/>
        <v>0</v>
      </c>
      <c r="AO17" s="835">
        <f t="shared" si="43"/>
        <v>0</v>
      </c>
      <c r="AP17" s="835">
        <f t="shared" si="43"/>
        <v>0</v>
      </c>
      <c r="AQ17" s="835">
        <f t="shared" si="44"/>
        <v>0</v>
      </c>
      <c r="AR17" s="835">
        <f t="shared" si="44"/>
        <v>0</v>
      </c>
      <c r="AS17" s="835">
        <f t="shared" si="44"/>
        <v>0</v>
      </c>
    </row>
    <row r="18" spans="1:45" hidden="1" outlineLevel="1">
      <c r="A18" s="9">
        <v>14</v>
      </c>
      <c r="B18" s="832"/>
      <c r="C18" s="840">
        <f t="shared" si="45"/>
        <v>0</v>
      </c>
      <c r="D18" s="840">
        <f t="shared" si="46"/>
        <v>0</v>
      </c>
      <c r="E18" s="832">
        <f t="shared" si="47"/>
        <v>0</v>
      </c>
      <c r="F18" s="311">
        <f t="shared" si="37"/>
        <v>0</v>
      </c>
      <c r="G18" s="311">
        <f t="shared" si="38"/>
        <v>0</v>
      </c>
      <c r="H18" s="833">
        <f t="shared" si="39"/>
        <v>0</v>
      </c>
      <c r="I18" s="332"/>
      <c r="J18" s="835">
        <v>0</v>
      </c>
      <c r="K18" s="835">
        <f t="shared" si="42"/>
        <v>0</v>
      </c>
      <c r="L18" s="835">
        <f t="shared" si="42"/>
        <v>0</v>
      </c>
      <c r="M18" s="835">
        <f t="shared" si="42"/>
        <v>0</v>
      </c>
      <c r="N18" s="835">
        <f t="shared" si="42"/>
        <v>0</v>
      </c>
      <c r="O18" s="835">
        <f t="shared" si="42"/>
        <v>0</v>
      </c>
      <c r="P18" s="835">
        <f t="shared" si="42"/>
        <v>0</v>
      </c>
      <c r="Q18" s="835">
        <f t="shared" si="42"/>
        <v>0</v>
      </c>
      <c r="R18" s="835">
        <f t="shared" si="42"/>
        <v>0</v>
      </c>
      <c r="S18" s="835">
        <f t="shared" si="42"/>
        <v>0</v>
      </c>
      <c r="T18" s="835">
        <f t="shared" si="42"/>
        <v>0</v>
      </c>
      <c r="U18" s="835">
        <f t="shared" si="42"/>
        <v>0</v>
      </c>
      <c r="V18" s="835">
        <f t="shared" si="42"/>
        <v>0</v>
      </c>
      <c r="W18" s="835">
        <f t="shared" si="42"/>
        <v>0</v>
      </c>
      <c r="X18" s="835">
        <f t="shared" si="42"/>
        <v>0</v>
      </c>
      <c r="Y18" s="835">
        <f t="shared" si="42"/>
        <v>0</v>
      </c>
      <c r="Z18" s="835">
        <f t="shared" si="42"/>
        <v>0</v>
      </c>
      <c r="AA18" s="835">
        <f t="shared" si="43"/>
        <v>0</v>
      </c>
      <c r="AB18" s="835">
        <f t="shared" si="43"/>
        <v>0</v>
      </c>
      <c r="AC18" s="835">
        <f t="shared" si="43"/>
        <v>0</v>
      </c>
      <c r="AD18" s="835">
        <f t="shared" si="43"/>
        <v>0</v>
      </c>
      <c r="AE18" s="835">
        <f t="shared" si="43"/>
        <v>0</v>
      </c>
      <c r="AF18" s="835">
        <f t="shared" si="43"/>
        <v>0</v>
      </c>
      <c r="AG18" s="835">
        <f t="shared" si="43"/>
        <v>0</v>
      </c>
      <c r="AH18" s="835">
        <f t="shared" si="43"/>
        <v>0</v>
      </c>
      <c r="AI18" s="835">
        <f t="shared" si="43"/>
        <v>0</v>
      </c>
      <c r="AJ18" s="835">
        <f t="shared" si="43"/>
        <v>0</v>
      </c>
      <c r="AK18" s="835">
        <f t="shared" si="43"/>
        <v>0</v>
      </c>
      <c r="AL18" s="835">
        <f t="shared" si="43"/>
        <v>0</v>
      </c>
      <c r="AM18" s="835">
        <f t="shared" si="43"/>
        <v>0</v>
      </c>
      <c r="AN18" s="835">
        <f t="shared" si="43"/>
        <v>0</v>
      </c>
      <c r="AO18" s="835">
        <f t="shared" si="43"/>
        <v>0</v>
      </c>
      <c r="AP18" s="835">
        <f t="shared" si="43"/>
        <v>0</v>
      </c>
      <c r="AQ18" s="835">
        <f t="shared" si="44"/>
        <v>0</v>
      </c>
      <c r="AR18" s="835">
        <f t="shared" si="44"/>
        <v>0</v>
      </c>
      <c r="AS18" s="835">
        <f t="shared" si="44"/>
        <v>0</v>
      </c>
    </row>
    <row r="19" spans="1:45" hidden="1" outlineLevel="1">
      <c r="A19" s="9">
        <v>15</v>
      </c>
      <c r="B19" s="832"/>
      <c r="C19" s="840">
        <f t="shared" si="45"/>
        <v>0</v>
      </c>
      <c r="D19" s="840">
        <f t="shared" si="46"/>
        <v>0</v>
      </c>
      <c r="E19" s="832">
        <f t="shared" si="47"/>
        <v>0</v>
      </c>
      <c r="F19" s="311">
        <f t="shared" si="37"/>
        <v>0</v>
      </c>
      <c r="G19" s="311">
        <f t="shared" si="38"/>
        <v>0</v>
      </c>
      <c r="H19" s="833">
        <f t="shared" si="39"/>
        <v>0</v>
      </c>
      <c r="I19" s="332"/>
      <c r="J19" s="835">
        <v>0</v>
      </c>
      <c r="K19" s="835">
        <f t="shared" si="42"/>
        <v>0</v>
      </c>
      <c r="L19" s="835">
        <f t="shared" si="42"/>
        <v>0</v>
      </c>
      <c r="M19" s="835">
        <f t="shared" si="42"/>
        <v>0</v>
      </c>
      <c r="N19" s="835">
        <f t="shared" si="42"/>
        <v>0</v>
      </c>
      <c r="O19" s="835">
        <f t="shared" si="42"/>
        <v>0</v>
      </c>
      <c r="P19" s="835">
        <f t="shared" si="42"/>
        <v>0</v>
      </c>
      <c r="Q19" s="835">
        <f t="shared" si="42"/>
        <v>0</v>
      </c>
      <c r="R19" s="835">
        <f t="shared" si="42"/>
        <v>0</v>
      </c>
      <c r="S19" s="835">
        <f t="shared" si="42"/>
        <v>0</v>
      </c>
      <c r="T19" s="835">
        <f t="shared" si="42"/>
        <v>0</v>
      </c>
      <c r="U19" s="835">
        <f t="shared" si="42"/>
        <v>0</v>
      </c>
      <c r="V19" s="835">
        <f t="shared" si="42"/>
        <v>0</v>
      </c>
      <c r="W19" s="835">
        <f t="shared" si="42"/>
        <v>0</v>
      </c>
      <c r="X19" s="835">
        <f t="shared" si="42"/>
        <v>0</v>
      </c>
      <c r="Y19" s="835">
        <f t="shared" si="42"/>
        <v>0</v>
      </c>
      <c r="Z19" s="835">
        <f t="shared" si="42"/>
        <v>0</v>
      </c>
      <c r="AA19" s="835">
        <f t="shared" si="43"/>
        <v>0</v>
      </c>
      <c r="AB19" s="835">
        <f t="shared" si="43"/>
        <v>0</v>
      </c>
      <c r="AC19" s="835">
        <f t="shared" si="43"/>
        <v>0</v>
      </c>
      <c r="AD19" s="835">
        <f t="shared" si="43"/>
        <v>0</v>
      </c>
      <c r="AE19" s="835">
        <f t="shared" si="43"/>
        <v>0</v>
      </c>
      <c r="AF19" s="835">
        <f t="shared" si="43"/>
        <v>0</v>
      </c>
      <c r="AG19" s="835">
        <f t="shared" si="43"/>
        <v>0</v>
      </c>
      <c r="AH19" s="835">
        <f t="shared" si="43"/>
        <v>0</v>
      </c>
      <c r="AI19" s="835">
        <f t="shared" si="43"/>
        <v>0</v>
      </c>
      <c r="AJ19" s="835">
        <f t="shared" si="43"/>
        <v>0</v>
      </c>
      <c r="AK19" s="835">
        <f t="shared" si="43"/>
        <v>0</v>
      </c>
      <c r="AL19" s="835">
        <f t="shared" si="43"/>
        <v>0</v>
      </c>
      <c r="AM19" s="835">
        <f t="shared" si="43"/>
        <v>0</v>
      </c>
      <c r="AN19" s="835">
        <f t="shared" si="43"/>
        <v>0</v>
      </c>
      <c r="AO19" s="835">
        <f t="shared" si="43"/>
        <v>0</v>
      </c>
      <c r="AP19" s="835">
        <f t="shared" si="43"/>
        <v>0</v>
      </c>
      <c r="AQ19" s="835">
        <f t="shared" si="44"/>
        <v>0</v>
      </c>
      <c r="AR19" s="835">
        <f t="shared" si="44"/>
        <v>0</v>
      </c>
      <c r="AS19" s="835">
        <f t="shared" si="44"/>
        <v>0</v>
      </c>
    </row>
    <row r="20" spans="1:45" hidden="1" outlineLevel="1">
      <c r="A20" s="9">
        <v>16</v>
      </c>
      <c r="B20" s="832"/>
      <c r="C20" s="840">
        <f t="shared" si="45"/>
        <v>0</v>
      </c>
      <c r="D20" s="840">
        <f t="shared" si="46"/>
        <v>0</v>
      </c>
      <c r="E20" s="832">
        <f t="shared" si="47"/>
        <v>0</v>
      </c>
      <c r="F20" s="311">
        <f t="shared" si="37"/>
        <v>0</v>
      </c>
      <c r="G20" s="311">
        <f t="shared" si="38"/>
        <v>0</v>
      </c>
      <c r="H20" s="833">
        <f t="shared" si="39"/>
        <v>0</v>
      </c>
      <c r="I20" s="332"/>
      <c r="J20" s="835">
        <v>0</v>
      </c>
      <c r="K20" s="835">
        <f t="shared" si="42"/>
        <v>0</v>
      </c>
      <c r="L20" s="835">
        <f t="shared" si="42"/>
        <v>0</v>
      </c>
      <c r="M20" s="835">
        <f t="shared" si="42"/>
        <v>0</v>
      </c>
      <c r="N20" s="835">
        <f t="shared" si="42"/>
        <v>0</v>
      </c>
      <c r="O20" s="835">
        <f t="shared" si="42"/>
        <v>0</v>
      </c>
      <c r="P20" s="835">
        <f t="shared" si="42"/>
        <v>0</v>
      </c>
      <c r="Q20" s="835">
        <f t="shared" si="42"/>
        <v>0</v>
      </c>
      <c r="R20" s="835">
        <f t="shared" si="42"/>
        <v>0</v>
      </c>
      <c r="S20" s="835">
        <f t="shared" si="42"/>
        <v>0</v>
      </c>
      <c r="T20" s="835">
        <f t="shared" si="42"/>
        <v>0</v>
      </c>
      <c r="U20" s="835">
        <f t="shared" si="42"/>
        <v>0</v>
      </c>
      <c r="V20" s="835">
        <f t="shared" si="42"/>
        <v>0</v>
      </c>
      <c r="W20" s="835">
        <f t="shared" si="42"/>
        <v>0</v>
      </c>
      <c r="X20" s="835">
        <f t="shared" si="42"/>
        <v>0</v>
      </c>
      <c r="Y20" s="835">
        <f t="shared" si="42"/>
        <v>0</v>
      </c>
      <c r="Z20" s="835">
        <f t="shared" si="42"/>
        <v>0</v>
      </c>
      <c r="AA20" s="835">
        <f t="shared" si="43"/>
        <v>0</v>
      </c>
      <c r="AB20" s="835">
        <f t="shared" si="43"/>
        <v>0</v>
      </c>
      <c r="AC20" s="835">
        <f t="shared" si="43"/>
        <v>0</v>
      </c>
      <c r="AD20" s="835">
        <f t="shared" si="43"/>
        <v>0</v>
      </c>
      <c r="AE20" s="835">
        <f t="shared" si="43"/>
        <v>0</v>
      </c>
      <c r="AF20" s="835">
        <f t="shared" si="43"/>
        <v>0</v>
      </c>
      <c r="AG20" s="835">
        <f t="shared" si="43"/>
        <v>0</v>
      </c>
      <c r="AH20" s="835">
        <f t="shared" si="43"/>
        <v>0</v>
      </c>
      <c r="AI20" s="835">
        <f t="shared" si="43"/>
        <v>0</v>
      </c>
      <c r="AJ20" s="835">
        <f t="shared" si="43"/>
        <v>0</v>
      </c>
      <c r="AK20" s="835">
        <f t="shared" si="43"/>
        <v>0</v>
      </c>
      <c r="AL20" s="835">
        <f t="shared" si="43"/>
        <v>0</v>
      </c>
      <c r="AM20" s="835">
        <f t="shared" si="43"/>
        <v>0</v>
      </c>
      <c r="AN20" s="835">
        <f t="shared" si="43"/>
        <v>0</v>
      </c>
      <c r="AO20" s="835">
        <f t="shared" si="43"/>
        <v>0</v>
      </c>
      <c r="AP20" s="835">
        <f t="shared" si="43"/>
        <v>0</v>
      </c>
      <c r="AQ20" s="835">
        <f t="shared" si="44"/>
        <v>0</v>
      </c>
      <c r="AR20" s="835">
        <f t="shared" si="44"/>
        <v>0</v>
      </c>
      <c r="AS20" s="835">
        <f t="shared" si="44"/>
        <v>0</v>
      </c>
    </row>
    <row r="21" spans="1:45" hidden="1" outlineLevel="1">
      <c r="A21" s="9">
        <v>17</v>
      </c>
      <c r="B21" s="832"/>
      <c r="C21" s="840">
        <f t="shared" si="45"/>
        <v>0</v>
      </c>
      <c r="D21" s="840">
        <f t="shared" si="46"/>
        <v>0</v>
      </c>
      <c r="E21" s="832">
        <f t="shared" si="47"/>
        <v>0</v>
      </c>
      <c r="F21" s="311">
        <f t="shared" si="37"/>
        <v>0</v>
      </c>
      <c r="G21" s="311">
        <f t="shared" si="38"/>
        <v>0</v>
      </c>
      <c r="H21" s="833">
        <f t="shared" si="39"/>
        <v>0</v>
      </c>
      <c r="I21" s="332"/>
      <c r="J21" s="835">
        <v>0</v>
      </c>
      <c r="K21" s="835">
        <f t="shared" si="42"/>
        <v>0</v>
      </c>
      <c r="L21" s="835">
        <f t="shared" si="42"/>
        <v>0</v>
      </c>
      <c r="M21" s="835">
        <f t="shared" si="42"/>
        <v>0</v>
      </c>
      <c r="N21" s="835">
        <f t="shared" si="42"/>
        <v>0</v>
      </c>
      <c r="O21" s="835">
        <f t="shared" si="42"/>
        <v>0</v>
      </c>
      <c r="P21" s="835">
        <f t="shared" si="42"/>
        <v>0</v>
      </c>
      <c r="Q21" s="835">
        <f t="shared" si="42"/>
        <v>0</v>
      </c>
      <c r="R21" s="835">
        <f t="shared" si="42"/>
        <v>0</v>
      </c>
      <c r="S21" s="835">
        <f t="shared" si="42"/>
        <v>0</v>
      </c>
      <c r="T21" s="835">
        <f t="shared" si="42"/>
        <v>0</v>
      </c>
      <c r="U21" s="835">
        <f t="shared" si="42"/>
        <v>0</v>
      </c>
      <c r="V21" s="835">
        <f t="shared" si="42"/>
        <v>0</v>
      </c>
      <c r="W21" s="835">
        <f t="shared" si="42"/>
        <v>0</v>
      </c>
      <c r="X21" s="835">
        <f t="shared" si="42"/>
        <v>0</v>
      </c>
      <c r="Y21" s="835">
        <f t="shared" si="42"/>
        <v>0</v>
      </c>
      <c r="Z21" s="835">
        <f t="shared" si="42"/>
        <v>0</v>
      </c>
      <c r="AA21" s="835">
        <f t="shared" si="43"/>
        <v>0</v>
      </c>
      <c r="AB21" s="835">
        <f t="shared" si="43"/>
        <v>0</v>
      </c>
      <c r="AC21" s="835">
        <f t="shared" si="43"/>
        <v>0</v>
      </c>
      <c r="AD21" s="835">
        <f t="shared" si="43"/>
        <v>0</v>
      </c>
      <c r="AE21" s="835">
        <f t="shared" si="43"/>
        <v>0</v>
      </c>
      <c r="AF21" s="835">
        <f t="shared" si="43"/>
        <v>0</v>
      </c>
      <c r="AG21" s="835">
        <f t="shared" si="43"/>
        <v>0</v>
      </c>
      <c r="AH21" s="835">
        <f t="shared" si="43"/>
        <v>0</v>
      </c>
      <c r="AI21" s="835">
        <f t="shared" si="43"/>
        <v>0</v>
      </c>
      <c r="AJ21" s="835">
        <f t="shared" si="43"/>
        <v>0</v>
      </c>
      <c r="AK21" s="835">
        <f t="shared" si="43"/>
        <v>0</v>
      </c>
      <c r="AL21" s="835">
        <f t="shared" si="43"/>
        <v>0</v>
      </c>
      <c r="AM21" s="835">
        <f t="shared" si="43"/>
        <v>0</v>
      </c>
      <c r="AN21" s="835">
        <f t="shared" si="43"/>
        <v>0</v>
      </c>
      <c r="AO21" s="835">
        <f t="shared" si="43"/>
        <v>0</v>
      </c>
      <c r="AP21" s="835">
        <f t="shared" si="43"/>
        <v>0</v>
      </c>
      <c r="AQ21" s="835">
        <f t="shared" si="44"/>
        <v>0</v>
      </c>
      <c r="AR21" s="835">
        <f t="shared" si="44"/>
        <v>0</v>
      </c>
      <c r="AS21" s="835">
        <f t="shared" si="44"/>
        <v>0</v>
      </c>
    </row>
    <row r="22" spans="1:45" hidden="1" outlineLevel="1">
      <c r="A22" s="9">
        <v>18</v>
      </c>
      <c r="B22" s="832"/>
      <c r="C22" s="840">
        <f t="shared" si="45"/>
        <v>0</v>
      </c>
      <c r="D22" s="840">
        <f t="shared" si="46"/>
        <v>0</v>
      </c>
      <c r="E22" s="832">
        <f t="shared" si="47"/>
        <v>0</v>
      </c>
      <c r="F22" s="311">
        <f t="shared" si="37"/>
        <v>0</v>
      </c>
      <c r="G22" s="311">
        <f t="shared" si="38"/>
        <v>0</v>
      </c>
      <c r="H22" s="833">
        <f t="shared" si="39"/>
        <v>0</v>
      </c>
      <c r="I22" s="332"/>
      <c r="J22" s="835">
        <v>0</v>
      </c>
      <c r="K22" s="835">
        <f t="shared" si="42"/>
        <v>0</v>
      </c>
      <c r="L22" s="835">
        <f t="shared" si="42"/>
        <v>0</v>
      </c>
      <c r="M22" s="835">
        <f t="shared" si="42"/>
        <v>0</v>
      </c>
      <c r="N22" s="835">
        <f t="shared" si="42"/>
        <v>0</v>
      </c>
      <c r="O22" s="835">
        <f t="shared" si="42"/>
        <v>0</v>
      </c>
      <c r="P22" s="835">
        <f t="shared" si="42"/>
        <v>0</v>
      </c>
      <c r="Q22" s="835">
        <f t="shared" si="42"/>
        <v>0</v>
      </c>
      <c r="R22" s="835">
        <f t="shared" si="42"/>
        <v>0</v>
      </c>
      <c r="S22" s="835">
        <f t="shared" si="42"/>
        <v>0</v>
      </c>
      <c r="T22" s="835">
        <f t="shared" si="42"/>
        <v>0</v>
      </c>
      <c r="U22" s="835">
        <f t="shared" si="42"/>
        <v>0</v>
      </c>
      <c r="V22" s="835">
        <f t="shared" si="42"/>
        <v>0</v>
      </c>
      <c r="W22" s="835">
        <f t="shared" si="42"/>
        <v>0</v>
      </c>
      <c r="X22" s="835">
        <f t="shared" si="42"/>
        <v>0</v>
      </c>
      <c r="Y22" s="835">
        <f t="shared" si="42"/>
        <v>0</v>
      </c>
      <c r="Z22" s="835">
        <f t="shared" si="42"/>
        <v>0</v>
      </c>
      <c r="AA22" s="835">
        <f t="shared" si="43"/>
        <v>0</v>
      </c>
      <c r="AB22" s="835">
        <f t="shared" si="43"/>
        <v>0</v>
      </c>
      <c r="AC22" s="835">
        <f t="shared" si="43"/>
        <v>0</v>
      </c>
      <c r="AD22" s="835">
        <f t="shared" si="43"/>
        <v>0</v>
      </c>
      <c r="AE22" s="835">
        <f t="shared" si="43"/>
        <v>0</v>
      </c>
      <c r="AF22" s="835">
        <f t="shared" si="43"/>
        <v>0</v>
      </c>
      <c r="AG22" s="835">
        <f t="shared" si="43"/>
        <v>0</v>
      </c>
      <c r="AH22" s="835">
        <f t="shared" si="43"/>
        <v>0</v>
      </c>
      <c r="AI22" s="835">
        <f t="shared" si="43"/>
        <v>0</v>
      </c>
      <c r="AJ22" s="835">
        <f t="shared" si="43"/>
        <v>0</v>
      </c>
      <c r="AK22" s="835">
        <f t="shared" si="43"/>
        <v>0</v>
      </c>
      <c r="AL22" s="835">
        <f t="shared" si="43"/>
        <v>0</v>
      </c>
      <c r="AM22" s="835">
        <f t="shared" si="43"/>
        <v>0</v>
      </c>
      <c r="AN22" s="835">
        <f t="shared" si="43"/>
        <v>0</v>
      </c>
      <c r="AO22" s="835">
        <f t="shared" si="43"/>
        <v>0</v>
      </c>
      <c r="AP22" s="835">
        <f t="shared" si="43"/>
        <v>0</v>
      </c>
      <c r="AQ22" s="835">
        <f t="shared" si="44"/>
        <v>0</v>
      </c>
      <c r="AR22" s="835">
        <f t="shared" si="44"/>
        <v>0</v>
      </c>
      <c r="AS22" s="835">
        <f t="shared" si="44"/>
        <v>0</v>
      </c>
    </row>
    <row r="23" spans="1:45" hidden="1" outlineLevel="1">
      <c r="A23" s="9">
        <v>19</v>
      </c>
      <c r="B23" s="832"/>
      <c r="C23" s="840">
        <f t="shared" si="45"/>
        <v>0</v>
      </c>
      <c r="D23" s="840">
        <f t="shared" si="46"/>
        <v>0</v>
      </c>
      <c r="E23" s="832">
        <f t="shared" si="47"/>
        <v>0</v>
      </c>
      <c r="F23" s="311">
        <f t="shared" si="37"/>
        <v>0</v>
      </c>
      <c r="G23" s="311">
        <f t="shared" si="38"/>
        <v>0</v>
      </c>
      <c r="H23" s="833">
        <f t="shared" si="39"/>
        <v>0</v>
      </c>
      <c r="I23" s="332"/>
      <c r="J23" s="835">
        <v>0</v>
      </c>
      <c r="K23" s="835">
        <f t="shared" si="42"/>
        <v>0</v>
      </c>
      <c r="L23" s="835">
        <f t="shared" si="42"/>
        <v>0</v>
      </c>
      <c r="M23" s="835">
        <f t="shared" si="42"/>
        <v>0</v>
      </c>
      <c r="N23" s="835">
        <f t="shared" si="42"/>
        <v>0</v>
      </c>
      <c r="O23" s="835">
        <f t="shared" si="42"/>
        <v>0</v>
      </c>
      <c r="P23" s="835">
        <f t="shared" si="42"/>
        <v>0</v>
      </c>
      <c r="Q23" s="835">
        <f t="shared" si="42"/>
        <v>0</v>
      </c>
      <c r="R23" s="835">
        <f t="shared" si="42"/>
        <v>0</v>
      </c>
      <c r="S23" s="835">
        <f t="shared" si="42"/>
        <v>0</v>
      </c>
      <c r="T23" s="835">
        <f t="shared" si="42"/>
        <v>0</v>
      </c>
      <c r="U23" s="835">
        <f t="shared" si="42"/>
        <v>0</v>
      </c>
      <c r="V23" s="835">
        <f t="shared" si="42"/>
        <v>0</v>
      </c>
      <c r="W23" s="835">
        <f t="shared" si="42"/>
        <v>0</v>
      </c>
      <c r="X23" s="835">
        <f t="shared" si="42"/>
        <v>0</v>
      </c>
      <c r="Y23" s="835">
        <f t="shared" si="42"/>
        <v>0</v>
      </c>
      <c r="Z23" s="835">
        <f t="shared" si="42"/>
        <v>0</v>
      </c>
      <c r="AA23" s="835">
        <f t="shared" si="43"/>
        <v>0</v>
      </c>
      <c r="AB23" s="835">
        <f t="shared" si="43"/>
        <v>0</v>
      </c>
      <c r="AC23" s="835">
        <f t="shared" si="43"/>
        <v>0</v>
      </c>
      <c r="AD23" s="835">
        <f t="shared" si="43"/>
        <v>0</v>
      </c>
      <c r="AE23" s="835">
        <f t="shared" si="43"/>
        <v>0</v>
      </c>
      <c r="AF23" s="835">
        <f t="shared" si="43"/>
        <v>0</v>
      </c>
      <c r="AG23" s="835">
        <f t="shared" si="43"/>
        <v>0</v>
      </c>
      <c r="AH23" s="835">
        <f t="shared" si="43"/>
        <v>0</v>
      </c>
      <c r="AI23" s="835">
        <f t="shared" si="43"/>
        <v>0</v>
      </c>
      <c r="AJ23" s="835">
        <f t="shared" si="43"/>
        <v>0</v>
      </c>
      <c r="AK23" s="835">
        <f t="shared" si="43"/>
        <v>0</v>
      </c>
      <c r="AL23" s="835">
        <f t="shared" si="43"/>
        <v>0</v>
      </c>
      <c r="AM23" s="835">
        <f t="shared" si="43"/>
        <v>0</v>
      </c>
      <c r="AN23" s="835">
        <f t="shared" si="43"/>
        <v>0</v>
      </c>
      <c r="AO23" s="835">
        <f t="shared" si="43"/>
        <v>0</v>
      </c>
      <c r="AP23" s="835">
        <f t="shared" si="43"/>
        <v>0</v>
      </c>
      <c r="AQ23" s="835">
        <f t="shared" si="44"/>
        <v>0</v>
      </c>
      <c r="AR23" s="835">
        <f t="shared" si="44"/>
        <v>0</v>
      </c>
      <c r="AS23" s="835">
        <f t="shared" si="44"/>
        <v>0</v>
      </c>
    </row>
    <row r="24" spans="1:45" hidden="1" outlineLevel="1">
      <c r="A24" s="9">
        <v>20</v>
      </c>
      <c r="B24" s="832"/>
      <c r="C24" s="840">
        <f t="shared" si="45"/>
        <v>0</v>
      </c>
      <c r="D24" s="840">
        <f t="shared" si="46"/>
        <v>0</v>
      </c>
      <c r="E24" s="832">
        <f t="shared" si="47"/>
        <v>0</v>
      </c>
      <c r="F24" s="311">
        <f t="shared" si="37"/>
        <v>0</v>
      </c>
      <c r="G24" s="311">
        <f t="shared" si="38"/>
        <v>0</v>
      </c>
      <c r="H24" s="833">
        <f t="shared" si="39"/>
        <v>0</v>
      </c>
      <c r="I24" s="332"/>
      <c r="J24" s="835">
        <v>0</v>
      </c>
      <c r="K24" s="835">
        <f t="shared" si="42"/>
        <v>0</v>
      </c>
      <c r="L24" s="835">
        <f t="shared" si="42"/>
        <v>0</v>
      </c>
      <c r="M24" s="835">
        <f t="shared" si="42"/>
        <v>0</v>
      </c>
      <c r="N24" s="835">
        <f t="shared" si="42"/>
        <v>0</v>
      </c>
      <c r="O24" s="835">
        <f t="shared" si="42"/>
        <v>0</v>
      </c>
      <c r="P24" s="835">
        <f t="shared" si="42"/>
        <v>0</v>
      </c>
      <c r="Q24" s="835">
        <f t="shared" si="42"/>
        <v>0</v>
      </c>
      <c r="R24" s="835">
        <f t="shared" si="42"/>
        <v>0</v>
      </c>
      <c r="S24" s="835">
        <f t="shared" si="42"/>
        <v>0</v>
      </c>
      <c r="T24" s="835">
        <f t="shared" si="42"/>
        <v>0</v>
      </c>
      <c r="U24" s="835">
        <f t="shared" si="42"/>
        <v>0</v>
      </c>
      <c r="V24" s="835">
        <f t="shared" si="42"/>
        <v>0</v>
      </c>
      <c r="W24" s="835">
        <f t="shared" si="42"/>
        <v>0</v>
      </c>
      <c r="X24" s="835">
        <f t="shared" si="42"/>
        <v>0</v>
      </c>
      <c r="Y24" s="835">
        <f t="shared" si="42"/>
        <v>0</v>
      </c>
      <c r="Z24" s="835">
        <f t="shared" si="42"/>
        <v>0</v>
      </c>
      <c r="AA24" s="835">
        <f t="shared" si="43"/>
        <v>0</v>
      </c>
      <c r="AB24" s="835">
        <f t="shared" si="43"/>
        <v>0</v>
      </c>
      <c r="AC24" s="835">
        <f t="shared" si="43"/>
        <v>0</v>
      </c>
      <c r="AD24" s="835">
        <f t="shared" si="43"/>
        <v>0</v>
      </c>
      <c r="AE24" s="835">
        <f t="shared" si="43"/>
        <v>0</v>
      </c>
      <c r="AF24" s="835">
        <f t="shared" si="43"/>
        <v>0</v>
      </c>
      <c r="AG24" s="835">
        <f t="shared" si="43"/>
        <v>0</v>
      </c>
      <c r="AH24" s="835">
        <f t="shared" si="43"/>
        <v>0</v>
      </c>
      <c r="AI24" s="835">
        <f t="shared" si="43"/>
        <v>0</v>
      </c>
      <c r="AJ24" s="835">
        <f t="shared" si="43"/>
        <v>0</v>
      </c>
      <c r="AK24" s="835">
        <f t="shared" si="43"/>
        <v>0</v>
      </c>
      <c r="AL24" s="835">
        <f t="shared" si="43"/>
        <v>0</v>
      </c>
      <c r="AM24" s="835">
        <f t="shared" si="43"/>
        <v>0</v>
      </c>
      <c r="AN24" s="835">
        <f t="shared" si="43"/>
        <v>0</v>
      </c>
      <c r="AO24" s="835">
        <f t="shared" si="43"/>
        <v>0</v>
      </c>
      <c r="AP24" s="835">
        <f t="shared" si="43"/>
        <v>0</v>
      </c>
      <c r="AQ24" s="835">
        <f t="shared" si="44"/>
        <v>0</v>
      </c>
      <c r="AR24" s="835">
        <f t="shared" si="44"/>
        <v>0</v>
      </c>
      <c r="AS24" s="835">
        <f t="shared" si="44"/>
        <v>0</v>
      </c>
    </row>
    <row r="25" spans="1:45" hidden="1" outlineLevel="1">
      <c r="A25" s="9">
        <v>21</v>
      </c>
      <c r="B25" s="832"/>
      <c r="C25" s="840">
        <f t="shared" si="45"/>
        <v>0</v>
      </c>
      <c r="D25" s="840">
        <f t="shared" si="46"/>
        <v>0</v>
      </c>
      <c r="E25" s="832">
        <f t="shared" si="47"/>
        <v>0</v>
      </c>
      <c r="F25" s="311">
        <f t="shared" si="37"/>
        <v>0</v>
      </c>
      <c r="G25" s="311">
        <f t="shared" si="38"/>
        <v>0</v>
      </c>
      <c r="H25" s="833">
        <f t="shared" si="39"/>
        <v>0</v>
      </c>
      <c r="I25" s="332"/>
      <c r="J25" s="835">
        <v>0</v>
      </c>
      <c r="K25" s="835">
        <f t="shared" si="42"/>
        <v>0</v>
      </c>
      <c r="L25" s="835">
        <f t="shared" si="42"/>
        <v>0</v>
      </c>
      <c r="M25" s="835">
        <f t="shared" si="42"/>
        <v>0</v>
      </c>
      <c r="N25" s="835">
        <f t="shared" si="42"/>
        <v>0</v>
      </c>
      <c r="O25" s="835">
        <f t="shared" si="42"/>
        <v>0</v>
      </c>
      <c r="P25" s="835">
        <f t="shared" si="42"/>
        <v>0</v>
      </c>
      <c r="Q25" s="835">
        <f t="shared" si="42"/>
        <v>0</v>
      </c>
      <c r="R25" s="835">
        <f t="shared" si="42"/>
        <v>0</v>
      </c>
      <c r="S25" s="835">
        <f t="shared" si="42"/>
        <v>0</v>
      </c>
      <c r="T25" s="835">
        <f t="shared" si="42"/>
        <v>0</v>
      </c>
      <c r="U25" s="835">
        <f t="shared" si="42"/>
        <v>0</v>
      </c>
      <c r="V25" s="835">
        <f t="shared" si="42"/>
        <v>0</v>
      </c>
      <c r="W25" s="835">
        <f t="shared" si="42"/>
        <v>0</v>
      </c>
      <c r="X25" s="835">
        <f t="shared" si="42"/>
        <v>0</v>
      </c>
      <c r="Y25" s="835">
        <f t="shared" si="42"/>
        <v>0</v>
      </c>
      <c r="Z25" s="835">
        <f t="shared" ref="Z25:AO34" si="48">+Y25</f>
        <v>0</v>
      </c>
      <c r="AA25" s="835">
        <f t="shared" si="48"/>
        <v>0</v>
      </c>
      <c r="AB25" s="835">
        <f t="shared" si="48"/>
        <v>0</v>
      </c>
      <c r="AC25" s="835">
        <f t="shared" si="48"/>
        <v>0</v>
      </c>
      <c r="AD25" s="835">
        <f t="shared" si="48"/>
        <v>0</v>
      </c>
      <c r="AE25" s="835">
        <f t="shared" si="48"/>
        <v>0</v>
      </c>
      <c r="AF25" s="835">
        <f t="shared" si="48"/>
        <v>0</v>
      </c>
      <c r="AG25" s="835">
        <f t="shared" si="48"/>
        <v>0</v>
      </c>
      <c r="AH25" s="835">
        <f t="shared" si="48"/>
        <v>0</v>
      </c>
      <c r="AI25" s="835">
        <f t="shared" si="48"/>
        <v>0</v>
      </c>
      <c r="AJ25" s="835">
        <f t="shared" si="48"/>
        <v>0</v>
      </c>
      <c r="AK25" s="835">
        <f t="shared" si="48"/>
        <v>0</v>
      </c>
      <c r="AL25" s="835">
        <f t="shared" si="48"/>
        <v>0</v>
      </c>
      <c r="AM25" s="835">
        <f t="shared" si="48"/>
        <v>0</v>
      </c>
      <c r="AN25" s="835">
        <f t="shared" si="48"/>
        <v>0</v>
      </c>
      <c r="AO25" s="835">
        <f t="shared" si="48"/>
        <v>0</v>
      </c>
      <c r="AP25" s="835">
        <f t="shared" si="43"/>
        <v>0</v>
      </c>
      <c r="AQ25" s="835">
        <f t="shared" si="44"/>
        <v>0</v>
      </c>
      <c r="AR25" s="835">
        <f t="shared" si="44"/>
        <v>0</v>
      </c>
      <c r="AS25" s="835">
        <f t="shared" si="44"/>
        <v>0</v>
      </c>
    </row>
    <row r="26" spans="1:45" hidden="1" outlineLevel="1">
      <c r="A26" s="9">
        <v>22</v>
      </c>
      <c r="B26" s="832"/>
      <c r="C26" s="840">
        <f t="shared" si="45"/>
        <v>0</v>
      </c>
      <c r="D26" s="840">
        <f t="shared" si="46"/>
        <v>0</v>
      </c>
      <c r="E26" s="832">
        <f t="shared" si="47"/>
        <v>0</v>
      </c>
      <c r="F26" s="311">
        <f t="shared" si="37"/>
        <v>0</v>
      </c>
      <c r="G26" s="311">
        <f t="shared" si="38"/>
        <v>0</v>
      </c>
      <c r="H26" s="833">
        <f t="shared" si="39"/>
        <v>0</v>
      </c>
      <c r="I26" s="332"/>
      <c r="J26" s="835">
        <v>0</v>
      </c>
      <c r="K26" s="835">
        <f t="shared" ref="K26:Z34" si="49">+J26</f>
        <v>0</v>
      </c>
      <c r="L26" s="835">
        <f t="shared" si="49"/>
        <v>0</v>
      </c>
      <c r="M26" s="835">
        <f t="shared" si="49"/>
        <v>0</v>
      </c>
      <c r="N26" s="835">
        <f t="shared" si="49"/>
        <v>0</v>
      </c>
      <c r="O26" s="835">
        <f t="shared" si="49"/>
        <v>0</v>
      </c>
      <c r="P26" s="835">
        <f t="shared" si="49"/>
        <v>0</v>
      </c>
      <c r="Q26" s="835">
        <f t="shared" si="49"/>
        <v>0</v>
      </c>
      <c r="R26" s="835">
        <f t="shared" si="49"/>
        <v>0</v>
      </c>
      <c r="S26" s="835">
        <f t="shared" si="49"/>
        <v>0</v>
      </c>
      <c r="T26" s="835">
        <f t="shared" si="49"/>
        <v>0</v>
      </c>
      <c r="U26" s="835">
        <f t="shared" si="49"/>
        <v>0</v>
      </c>
      <c r="V26" s="835">
        <f t="shared" si="49"/>
        <v>0</v>
      </c>
      <c r="W26" s="835">
        <f t="shared" si="49"/>
        <v>0</v>
      </c>
      <c r="X26" s="835">
        <f t="shared" si="49"/>
        <v>0</v>
      </c>
      <c r="Y26" s="835">
        <f t="shared" si="49"/>
        <v>0</v>
      </c>
      <c r="Z26" s="835">
        <f t="shared" si="49"/>
        <v>0</v>
      </c>
      <c r="AA26" s="835">
        <f t="shared" si="48"/>
        <v>0</v>
      </c>
      <c r="AB26" s="835">
        <f t="shared" si="48"/>
        <v>0</v>
      </c>
      <c r="AC26" s="835">
        <f t="shared" si="48"/>
        <v>0</v>
      </c>
      <c r="AD26" s="835">
        <f t="shared" si="48"/>
        <v>0</v>
      </c>
      <c r="AE26" s="835">
        <f t="shared" si="48"/>
        <v>0</v>
      </c>
      <c r="AF26" s="835">
        <f t="shared" si="48"/>
        <v>0</v>
      </c>
      <c r="AG26" s="835">
        <f t="shared" si="48"/>
        <v>0</v>
      </c>
      <c r="AH26" s="835">
        <f t="shared" si="48"/>
        <v>0</v>
      </c>
      <c r="AI26" s="835">
        <f t="shared" si="48"/>
        <v>0</v>
      </c>
      <c r="AJ26" s="835">
        <f t="shared" si="48"/>
        <v>0</v>
      </c>
      <c r="AK26" s="835">
        <f t="shared" si="48"/>
        <v>0</v>
      </c>
      <c r="AL26" s="835">
        <f t="shared" si="48"/>
        <v>0</v>
      </c>
      <c r="AM26" s="835">
        <f t="shared" si="48"/>
        <v>0</v>
      </c>
      <c r="AN26" s="835">
        <f t="shared" si="48"/>
        <v>0</v>
      </c>
      <c r="AO26" s="835">
        <f t="shared" si="48"/>
        <v>0</v>
      </c>
      <c r="AP26" s="835">
        <f t="shared" si="43"/>
        <v>0</v>
      </c>
      <c r="AQ26" s="835">
        <f t="shared" si="44"/>
        <v>0</v>
      </c>
      <c r="AR26" s="835">
        <f t="shared" si="44"/>
        <v>0</v>
      </c>
      <c r="AS26" s="835">
        <f t="shared" si="44"/>
        <v>0</v>
      </c>
    </row>
    <row r="27" spans="1:45" hidden="1" outlineLevel="1">
      <c r="A27" s="9">
        <v>23</v>
      </c>
      <c r="B27" s="832"/>
      <c r="C27" s="840">
        <f t="shared" si="45"/>
        <v>0</v>
      </c>
      <c r="D27" s="840">
        <f t="shared" si="46"/>
        <v>0</v>
      </c>
      <c r="E27" s="832">
        <f t="shared" si="47"/>
        <v>0</v>
      </c>
      <c r="F27" s="311">
        <f t="shared" si="37"/>
        <v>0</v>
      </c>
      <c r="G27" s="311">
        <f t="shared" si="38"/>
        <v>0</v>
      </c>
      <c r="H27" s="833">
        <f t="shared" si="39"/>
        <v>0</v>
      </c>
      <c r="I27" s="332"/>
      <c r="J27" s="835">
        <v>0</v>
      </c>
      <c r="K27" s="835">
        <f t="shared" si="49"/>
        <v>0</v>
      </c>
      <c r="L27" s="835">
        <f t="shared" si="49"/>
        <v>0</v>
      </c>
      <c r="M27" s="835">
        <f t="shared" si="49"/>
        <v>0</v>
      </c>
      <c r="N27" s="835">
        <f t="shared" si="49"/>
        <v>0</v>
      </c>
      <c r="O27" s="835">
        <f t="shared" si="49"/>
        <v>0</v>
      </c>
      <c r="P27" s="835">
        <f t="shared" si="49"/>
        <v>0</v>
      </c>
      <c r="Q27" s="835">
        <f t="shared" si="49"/>
        <v>0</v>
      </c>
      <c r="R27" s="835">
        <f t="shared" si="49"/>
        <v>0</v>
      </c>
      <c r="S27" s="835">
        <f t="shared" si="49"/>
        <v>0</v>
      </c>
      <c r="T27" s="835">
        <f t="shared" si="49"/>
        <v>0</v>
      </c>
      <c r="U27" s="835">
        <f t="shared" si="49"/>
        <v>0</v>
      </c>
      <c r="V27" s="835">
        <f t="shared" si="49"/>
        <v>0</v>
      </c>
      <c r="W27" s="835">
        <f t="shared" si="49"/>
        <v>0</v>
      </c>
      <c r="X27" s="835">
        <f t="shared" si="49"/>
        <v>0</v>
      </c>
      <c r="Y27" s="835">
        <f t="shared" si="49"/>
        <v>0</v>
      </c>
      <c r="Z27" s="835">
        <f t="shared" si="49"/>
        <v>0</v>
      </c>
      <c r="AA27" s="835">
        <f t="shared" si="48"/>
        <v>0</v>
      </c>
      <c r="AB27" s="835">
        <f t="shared" si="48"/>
        <v>0</v>
      </c>
      <c r="AC27" s="835">
        <f t="shared" si="48"/>
        <v>0</v>
      </c>
      <c r="AD27" s="835">
        <f t="shared" si="48"/>
        <v>0</v>
      </c>
      <c r="AE27" s="835">
        <f t="shared" si="48"/>
        <v>0</v>
      </c>
      <c r="AF27" s="835">
        <f t="shared" si="48"/>
        <v>0</v>
      </c>
      <c r="AG27" s="835">
        <f t="shared" si="48"/>
        <v>0</v>
      </c>
      <c r="AH27" s="835">
        <f t="shared" si="48"/>
        <v>0</v>
      </c>
      <c r="AI27" s="835">
        <f t="shared" si="48"/>
        <v>0</v>
      </c>
      <c r="AJ27" s="835">
        <f t="shared" si="48"/>
        <v>0</v>
      </c>
      <c r="AK27" s="835">
        <f t="shared" si="48"/>
        <v>0</v>
      </c>
      <c r="AL27" s="835">
        <f t="shared" si="48"/>
        <v>0</v>
      </c>
      <c r="AM27" s="835">
        <f t="shared" si="48"/>
        <v>0</v>
      </c>
      <c r="AN27" s="835">
        <f t="shared" si="48"/>
        <v>0</v>
      </c>
      <c r="AO27" s="835">
        <f t="shared" si="48"/>
        <v>0</v>
      </c>
      <c r="AP27" s="835">
        <f t="shared" si="43"/>
        <v>0</v>
      </c>
      <c r="AQ27" s="835">
        <f t="shared" si="44"/>
        <v>0</v>
      </c>
      <c r="AR27" s="835">
        <f t="shared" si="44"/>
        <v>0</v>
      </c>
      <c r="AS27" s="835">
        <f t="shared" si="44"/>
        <v>0</v>
      </c>
    </row>
    <row r="28" spans="1:45" hidden="1" outlineLevel="1">
      <c r="A28" s="9">
        <v>24</v>
      </c>
      <c r="B28" s="832"/>
      <c r="C28" s="840">
        <f t="shared" si="45"/>
        <v>0</v>
      </c>
      <c r="D28" s="840">
        <f t="shared" si="46"/>
        <v>0</v>
      </c>
      <c r="E28" s="832">
        <f t="shared" si="47"/>
        <v>0</v>
      </c>
      <c r="F28" s="311">
        <f t="shared" si="37"/>
        <v>0</v>
      </c>
      <c r="G28" s="311">
        <f t="shared" si="38"/>
        <v>0</v>
      </c>
      <c r="H28" s="833">
        <f t="shared" si="39"/>
        <v>0</v>
      </c>
      <c r="I28" s="332"/>
      <c r="J28" s="835">
        <v>0</v>
      </c>
      <c r="K28" s="835">
        <f t="shared" si="49"/>
        <v>0</v>
      </c>
      <c r="L28" s="835">
        <f t="shared" si="49"/>
        <v>0</v>
      </c>
      <c r="M28" s="835">
        <f t="shared" si="49"/>
        <v>0</v>
      </c>
      <c r="N28" s="835">
        <f t="shared" si="49"/>
        <v>0</v>
      </c>
      <c r="O28" s="835">
        <f t="shared" si="49"/>
        <v>0</v>
      </c>
      <c r="P28" s="835">
        <f t="shared" si="49"/>
        <v>0</v>
      </c>
      <c r="Q28" s="835">
        <f t="shared" si="49"/>
        <v>0</v>
      </c>
      <c r="R28" s="835">
        <f t="shared" si="49"/>
        <v>0</v>
      </c>
      <c r="S28" s="835">
        <f t="shared" si="49"/>
        <v>0</v>
      </c>
      <c r="T28" s="835">
        <f t="shared" si="49"/>
        <v>0</v>
      </c>
      <c r="U28" s="835">
        <f t="shared" si="49"/>
        <v>0</v>
      </c>
      <c r="V28" s="835">
        <f t="shared" si="49"/>
        <v>0</v>
      </c>
      <c r="W28" s="835">
        <f t="shared" si="49"/>
        <v>0</v>
      </c>
      <c r="X28" s="835">
        <f t="shared" si="49"/>
        <v>0</v>
      </c>
      <c r="Y28" s="835">
        <f t="shared" si="49"/>
        <v>0</v>
      </c>
      <c r="Z28" s="835">
        <f t="shared" si="49"/>
        <v>0</v>
      </c>
      <c r="AA28" s="835">
        <f t="shared" si="48"/>
        <v>0</v>
      </c>
      <c r="AB28" s="835">
        <f t="shared" si="48"/>
        <v>0</v>
      </c>
      <c r="AC28" s="835">
        <f t="shared" si="48"/>
        <v>0</v>
      </c>
      <c r="AD28" s="835">
        <f t="shared" si="48"/>
        <v>0</v>
      </c>
      <c r="AE28" s="835">
        <f t="shared" si="48"/>
        <v>0</v>
      </c>
      <c r="AF28" s="835">
        <f t="shared" si="48"/>
        <v>0</v>
      </c>
      <c r="AG28" s="835">
        <f t="shared" si="48"/>
        <v>0</v>
      </c>
      <c r="AH28" s="835">
        <f t="shared" si="48"/>
        <v>0</v>
      </c>
      <c r="AI28" s="835">
        <f t="shared" si="48"/>
        <v>0</v>
      </c>
      <c r="AJ28" s="835">
        <f t="shared" si="48"/>
        <v>0</v>
      </c>
      <c r="AK28" s="835">
        <f t="shared" si="48"/>
        <v>0</v>
      </c>
      <c r="AL28" s="835">
        <f t="shared" si="48"/>
        <v>0</v>
      </c>
      <c r="AM28" s="835">
        <f t="shared" si="48"/>
        <v>0</v>
      </c>
      <c r="AN28" s="835">
        <f t="shared" si="48"/>
        <v>0</v>
      </c>
      <c r="AO28" s="835">
        <f t="shared" si="48"/>
        <v>0</v>
      </c>
      <c r="AP28" s="835">
        <f t="shared" si="43"/>
        <v>0</v>
      </c>
      <c r="AQ28" s="835">
        <f t="shared" si="44"/>
        <v>0</v>
      </c>
      <c r="AR28" s="835">
        <f t="shared" si="44"/>
        <v>0</v>
      </c>
      <c r="AS28" s="835">
        <f t="shared" si="44"/>
        <v>0</v>
      </c>
    </row>
    <row r="29" spans="1:45" hidden="1" outlineLevel="1">
      <c r="A29" s="9">
        <v>25</v>
      </c>
      <c r="B29" s="832"/>
      <c r="C29" s="840">
        <f t="shared" si="45"/>
        <v>0</v>
      </c>
      <c r="D29" s="840">
        <f t="shared" si="46"/>
        <v>0</v>
      </c>
      <c r="E29" s="832">
        <f t="shared" si="47"/>
        <v>0</v>
      </c>
      <c r="F29" s="311">
        <f t="shared" si="37"/>
        <v>0</v>
      </c>
      <c r="G29" s="311">
        <f t="shared" si="38"/>
        <v>0</v>
      </c>
      <c r="H29" s="833">
        <f t="shared" si="39"/>
        <v>0</v>
      </c>
      <c r="I29" s="332"/>
      <c r="J29" s="835">
        <v>0</v>
      </c>
      <c r="K29" s="835">
        <f t="shared" si="49"/>
        <v>0</v>
      </c>
      <c r="L29" s="835">
        <f t="shared" si="49"/>
        <v>0</v>
      </c>
      <c r="M29" s="835">
        <f t="shared" si="49"/>
        <v>0</v>
      </c>
      <c r="N29" s="835">
        <f t="shared" si="49"/>
        <v>0</v>
      </c>
      <c r="O29" s="835">
        <f t="shared" si="49"/>
        <v>0</v>
      </c>
      <c r="P29" s="835">
        <f t="shared" si="49"/>
        <v>0</v>
      </c>
      <c r="Q29" s="835">
        <f t="shared" si="49"/>
        <v>0</v>
      </c>
      <c r="R29" s="835">
        <f t="shared" si="49"/>
        <v>0</v>
      </c>
      <c r="S29" s="835">
        <f t="shared" si="49"/>
        <v>0</v>
      </c>
      <c r="T29" s="835">
        <f t="shared" si="49"/>
        <v>0</v>
      </c>
      <c r="U29" s="835">
        <f t="shared" si="49"/>
        <v>0</v>
      </c>
      <c r="V29" s="835">
        <f t="shared" si="49"/>
        <v>0</v>
      </c>
      <c r="W29" s="835">
        <f t="shared" si="49"/>
        <v>0</v>
      </c>
      <c r="X29" s="835">
        <f t="shared" si="49"/>
        <v>0</v>
      </c>
      <c r="Y29" s="835">
        <f t="shared" si="49"/>
        <v>0</v>
      </c>
      <c r="Z29" s="835">
        <f t="shared" si="49"/>
        <v>0</v>
      </c>
      <c r="AA29" s="835">
        <f t="shared" si="48"/>
        <v>0</v>
      </c>
      <c r="AB29" s="835">
        <f t="shared" si="48"/>
        <v>0</v>
      </c>
      <c r="AC29" s="835">
        <f t="shared" si="48"/>
        <v>0</v>
      </c>
      <c r="AD29" s="835">
        <f t="shared" si="48"/>
        <v>0</v>
      </c>
      <c r="AE29" s="835">
        <f t="shared" si="48"/>
        <v>0</v>
      </c>
      <c r="AF29" s="835">
        <f t="shared" si="48"/>
        <v>0</v>
      </c>
      <c r="AG29" s="835">
        <f t="shared" si="48"/>
        <v>0</v>
      </c>
      <c r="AH29" s="835">
        <f t="shared" si="48"/>
        <v>0</v>
      </c>
      <c r="AI29" s="835">
        <f t="shared" si="48"/>
        <v>0</v>
      </c>
      <c r="AJ29" s="835">
        <f t="shared" si="48"/>
        <v>0</v>
      </c>
      <c r="AK29" s="835">
        <f t="shared" si="48"/>
        <v>0</v>
      </c>
      <c r="AL29" s="835">
        <f t="shared" si="48"/>
        <v>0</v>
      </c>
      <c r="AM29" s="835">
        <f t="shared" si="48"/>
        <v>0</v>
      </c>
      <c r="AN29" s="835">
        <f t="shared" si="48"/>
        <v>0</v>
      </c>
      <c r="AO29" s="835">
        <f t="shared" si="48"/>
        <v>0</v>
      </c>
      <c r="AP29" s="835">
        <f t="shared" si="43"/>
        <v>0</v>
      </c>
      <c r="AQ29" s="835">
        <f t="shared" si="44"/>
        <v>0</v>
      </c>
      <c r="AR29" s="835">
        <f t="shared" si="44"/>
        <v>0</v>
      </c>
      <c r="AS29" s="835">
        <f t="shared" si="44"/>
        <v>0</v>
      </c>
    </row>
    <row r="30" spans="1:45" hidden="1" outlineLevel="1">
      <c r="A30" s="9">
        <v>26</v>
      </c>
      <c r="B30" s="832"/>
      <c r="C30" s="840">
        <f t="shared" si="45"/>
        <v>0</v>
      </c>
      <c r="D30" s="840">
        <f t="shared" si="46"/>
        <v>0</v>
      </c>
      <c r="E30" s="832">
        <f t="shared" si="47"/>
        <v>0</v>
      </c>
      <c r="F30" s="311">
        <f t="shared" si="37"/>
        <v>0</v>
      </c>
      <c r="G30" s="311">
        <f t="shared" si="38"/>
        <v>0</v>
      </c>
      <c r="H30" s="833">
        <f t="shared" si="39"/>
        <v>0</v>
      </c>
      <c r="I30" s="332"/>
      <c r="J30" s="835">
        <v>0</v>
      </c>
      <c r="K30" s="835">
        <f t="shared" si="49"/>
        <v>0</v>
      </c>
      <c r="L30" s="835">
        <f t="shared" si="49"/>
        <v>0</v>
      </c>
      <c r="M30" s="835">
        <f t="shared" si="49"/>
        <v>0</v>
      </c>
      <c r="N30" s="835">
        <f t="shared" si="49"/>
        <v>0</v>
      </c>
      <c r="O30" s="835">
        <f t="shared" si="49"/>
        <v>0</v>
      </c>
      <c r="P30" s="835">
        <f t="shared" si="49"/>
        <v>0</v>
      </c>
      <c r="Q30" s="835">
        <f t="shared" si="49"/>
        <v>0</v>
      </c>
      <c r="R30" s="835">
        <f t="shared" si="49"/>
        <v>0</v>
      </c>
      <c r="S30" s="835">
        <f t="shared" si="49"/>
        <v>0</v>
      </c>
      <c r="T30" s="835">
        <f t="shared" si="49"/>
        <v>0</v>
      </c>
      <c r="U30" s="835">
        <f t="shared" si="49"/>
        <v>0</v>
      </c>
      <c r="V30" s="835">
        <f t="shared" si="49"/>
        <v>0</v>
      </c>
      <c r="W30" s="835">
        <f t="shared" si="49"/>
        <v>0</v>
      </c>
      <c r="X30" s="835">
        <f t="shared" si="49"/>
        <v>0</v>
      </c>
      <c r="Y30" s="835">
        <f t="shared" si="49"/>
        <v>0</v>
      </c>
      <c r="Z30" s="835">
        <f t="shared" si="49"/>
        <v>0</v>
      </c>
      <c r="AA30" s="835">
        <f t="shared" si="48"/>
        <v>0</v>
      </c>
      <c r="AB30" s="835">
        <f t="shared" si="48"/>
        <v>0</v>
      </c>
      <c r="AC30" s="835">
        <f t="shared" si="48"/>
        <v>0</v>
      </c>
      <c r="AD30" s="835">
        <f t="shared" si="48"/>
        <v>0</v>
      </c>
      <c r="AE30" s="835">
        <f t="shared" si="48"/>
        <v>0</v>
      </c>
      <c r="AF30" s="835">
        <f t="shared" si="48"/>
        <v>0</v>
      </c>
      <c r="AG30" s="835">
        <f t="shared" si="48"/>
        <v>0</v>
      </c>
      <c r="AH30" s="835">
        <f t="shared" si="48"/>
        <v>0</v>
      </c>
      <c r="AI30" s="835">
        <f t="shared" si="48"/>
        <v>0</v>
      </c>
      <c r="AJ30" s="835">
        <f t="shared" si="48"/>
        <v>0</v>
      </c>
      <c r="AK30" s="835">
        <f t="shared" si="48"/>
        <v>0</v>
      </c>
      <c r="AL30" s="835">
        <f t="shared" si="48"/>
        <v>0</v>
      </c>
      <c r="AM30" s="835">
        <f t="shared" si="48"/>
        <v>0</v>
      </c>
      <c r="AN30" s="835">
        <f t="shared" si="48"/>
        <v>0</v>
      </c>
      <c r="AO30" s="835">
        <f t="shared" si="48"/>
        <v>0</v>
      </c>
      <c r="AP30" s="835">
        <f t="shared" si="43"/>
        <v>0</v>
      </c>
      <c r="AQ30" s="835">
        <f t="shared" si="44"/>
        <v>0</v>
      </c>
      <c r="AR30" s="835">
        <f t="shared" si="44"/>
        <v>0</v>
      </c>
      <c r="AS30" s="835">
        <f t="shared" si="44"/>
        <v>0</v>
      </c>
    </row>
    <row r="31" spans="1:45" hidden="1" outlineLevel="1">
      <c r="A31" s="9">
        <v>27</v>
      </c>
      <c r="B31" s="832"/>
      <c r="C31" s="840">
        <f t="shared" si="45"/>
        <v>0</v>
      </c>
      <c r="D31" s="840">
        <f t="shared" si="46"/>
        <v>0</v>
      </c>
      <c r="E31" s="832">
        <f t="shared" si="47"/>
        <v>0</v>
      </c>
      <c r="F31" s="311">
        <f t="shared" si="37"/>
        <v>0</v>
      </c>
      <c r="G31" s="311">
        <f t="shared" si="38"/>
        <v>0</v>
      </c>
      <c r="H31" s="833">
        <f t="shared" si="39"/>
        <v>0</v>
      </c>
      <c r="I31" s="332"/>
      <c r="J31" s="835">
        <v>0</v>
      </c>
      <c r="K31" s="835">
        <f t="shared" si="49"/>
        <v>0</v>
      </c>
      <c r="L31" s="835">
        <f t="shared" si="49"/>
        <v>0</v>
      </c>
      <c r="M31" s="835">
        <f t="shared" si="49"/>
        <v>0</v>
      </c>
      <c r="N31" s="835">
        <f t="shared" si="49"/>
        <v>0</v>
      </c>
      <c r="O31" s="835">
        <f t="shared" si="49"/>
        <v>0</v>
      </c>
      <c r="P31" s="835">
        <f t="shared" si="49"/>
        <v>0</v>
      </c>
      <c r="Q31" s="835">
        <f t="shared" si="49"/>
        <v>0</v>
      </c>
      <c r="R31" s="835">
        <f t="shared" si="49"/>
        <v>0</v>
      </c>
      <c r="S31" s="835">
        <f t="shared" si="49"/>
        <v>0</v>
      </c>
      <c r="T31" s="835">
        <f t="shared" si="49"/>
        <v>0</v>
      </c>
      <c r="U31" s="835">
        <f t="shared" si="49"/>
        <v>0</v>
      </c>
      <c r="V31" s="835">
        <f t="shared" si="49"/>
        <v>0</v>
      </c>
      <c r="W31" s="835">
        <f t="shared" si="49"/>
        <v>0</v>
      </c>
      <c r="X31" s="835">
        <f t="shared" si="49"/>
        <v>0</v>
      </c>
      <c r="Y31" s="835">
        <f t="shared" si="49"/>
        <v>0</v>
      </c>
      <c r="Z31" s="835">
        <f t="shared" si="49"/>
        <v>0</v>
      </c>
      <c r="AA31" s="835">
        <f t="shared" si="48"/>
        <v>0</v>
      </c>
      <c r="AB31" s="835">
        <f t="shared" si="48"/>
        <v>0</v>
      </c>
      <c r="AC31" s="835">
        <f t="shared" si="48"/>
        <v>0</v>
      </c>
      <c r="AD31" s="835">
        <f t="shared" si="48"/>
        <v>0</v>
      </c>
      <c r="AE31" s="835">
        <f t="shared" si="48"/>
        <v>0</v>
      </c>
      <c r="AF31" s="835">
        <f t="shared" si="48"/>
        <v>0</v>
      </c>
      <c r="AG31" s="835">
        <f t="shared" si="48"/>
        <v>0</v>
      </c>
      <c r="AH31" s="835">
        <f t="shared" si="48"/>
        <v>0</v>
      </c>
      <c r="AI31" s="835">
        <f t="shared" si="48"/>
        <v>0</v>
      </c>
      <c r="AJ31" s="835">
        <f t="shared" si="48"/>
        <v>0</v>
      </c>
      <c r="AK31" s="835">
        <f t="shared" si="48"/>
        <v>0</v>
      </c>
      <c r="AL31" s="835">
        <f t="shared" si="48"/>
        <v>0</v>
      </c>
      <c r="AM31" s="835">
        <f t="shared" si="48"/>
        <v>0</v>
      </c>
      <c r="AN31" s="835">
        <f t="shared" si="48"/>
        <v>0</v>
      </c>
      <c r="AO31" s="835">
        <f t="shared" si="48"/>
        <v>0</v>
      </c>
      <c r="AP31" s="835">
        <f t="shared" si="43"/>
        <v>0</v>
      </c>
      <c r="AQ31" s="835">
        <f t="shared" si="44"/>
        <v>0</v>
      </c>
      <c r="AR31" s="835">
        <f t="shared" si="44"/>
        <v>0</v>
      </c>
      <c r="AS31" s="835">
        <f t="shared" si="44"/>
        <v>0</v>
      </c>
    </row>
    <row r="32" spans="1:45" hidden="1" outlineLevel="1">
      <c r="A32" s="9">
        <v>28</v>
      </c>
      <c r="B32" s="832"/>
      <c r="C32" s="840">
        <f t="shared" si="45"/>
        <v>0</v>
      </c>
      <c r="D32" s="840">
        <f t="shared" si="46"/>
        <v>0</v>
      </c>
      <c r="E32" s="832">
        <f t="shared" si="47"/>
        <v>0</v>
      </c>
      <c r="F32" s="311">
        <f t="shared" si="37"/>
        <v>0</v>
      </c>
      <c r="G32" s="311">
        <f t="shared" si="38"/>
        <v>0</v>
      </c>
      <c r="H32" s="833">
        <f t="shared" si="39"/>
        <v>0</v>
      </c>
      <c r="I32" s="332"/>
      <c r="J32" s="835">
        <v>0</v>
      </c>
      <c r="K32" s="835">
        <f t="shared" si="49"/>
        <v>0</v>
      </c>
      <c r="L32" s="835">
        <f t="shared" si="49"/>
        <v>0</v>
      </c>
      <c r="M32" s="835">
        <f t="shared" si="49"/>
        <v>0</v>
      </c>
      <c r="N32" s="835">
        <f t="shared" si="49"/>
        <v>0</v>
      </c>
      <c r="O32" s="835">
        <f t="shared" si="49"/>
        <v>0</v>
      </c>
      <c r="P32" s="835">
        <f t="shared" si="49"/>
        <v>0</v>
      </c>
      <c r="Q32" s="835">
        <f t="shared" si="49"/>
        <v>0</v>
      </c>
      <c r="R32" s="835">
        <f t="shared" si="49"/>
        <v>0</v>
      </c>
      <c r="S32" s="835">
        <f t="shared" si="49"/>
        <v>0</v>
      </c>
      <c r="T32" s="835">
        <f t="shared" si="49"/>
        <v>0</v>
      </c>
      <c r="U32" s="835">
        <f t="shared" si="49"/>
        <v>0</v>
      </c>
      <c r="V32" s="835">
        <f t="shared" si="49"/>
        <v>0</v>
      </c>
      <c r="W32" s="835">
        <f t="shared" si="49"/>
        <v>0</v>
      </c>
      <c r="X32" s="835">
        <f t="shared" si="49"/>
        <v>0</v>
      </c>
      <c r="Y32" s="835">
        <f t="shared" si="49"/>
        <v>0</v>
      </c>
      <c r="Z32" s="835">
        <f t="shared" si="49"/>
        <v>0</v>
      </c>
      <c r="AA32" s="835">
        <f t="shared" si="48"/>
        <v>0</v>
      </c>
      <c r="AB32" s="835">
        <f t="shared" si="48"/>
        <v>0</v>
      </c>
      <c r="AC32" s="835">
        <f t="shared" si="48"/>
        <v>0</v>
      </c>
      <c r="AD32" s="835">
        <f t="shared" si="48"/>
        <v>0</v>
      </c>
      <c r="AE32" s="835">
        <f t="shared" si="48"/>
        <v>0</v>
      </c>
      <c r="AF32" s="835">
        <f t="shared" si="48"/>
        <v>0</v>
      </c>
      <c r="AG32" s="835">
        <f t="shared" si="48"/>
        <v>0</v>
      </c>
      <c r="AH32" s="835">
        <f t="shared" si="48"/>
        <v>0</v>
      </c>
      <c r="AI32" s="835">
        <f t="shared" si="48"/>
        <v>0</v>
      </c>
      <c r="AJ32" s="835">
        <f t="shared" si="48"/>
        <v>0</v>
      </c>
      <c r="AK32" s="835">
        <f t="shared" si="48"/>
        <v>0</v>
      </c>
      <c r="AL32" s="835">
        <f t="shared" si="48"/>
        <v>0</v>
      </c>
      <c r="AM32" s="835">
        <f t="shared" si="48"/>
        <v>0</v>
      </c>
      <c r="AN32" s="835">
        <f t="shared" si="48"/>
        <v>0</v>
      </c>
      <c r="AO32" s="835">
        <f t="shared" si="48"/>
        <v>0</v>
      </c>
      <c r="AP32" s="835">
        <f t="shared" si="43"/>
        <v>0</v>
      </c>
      <c r="AQ32" s="835">
        <f t="shared" si="44"/>
        <v>0</v>
      </c>
      <c r="AR32" s="835">
        <f t="shared" si="44"/>
        <v>0</v>
      </c>
      <c r="AS32" s="835">
        <f t="shared" si="44"/>
        <v>0</v>
      </c>
    </row>
    <row r="33" spans="1:45" hidden="1" outlineLevel="1">
      <c r="A33" s="9">
        <v>29</v>
      </c>
      <c r="B33" s="832"/>
      <c r="C33" s="840">
        <f t="shared" si="45"/>
        <v>0</v>
      </c>
      <c r="D33" s="840">
        <f t="shared" si="46"/>
        <v>0</v>
      </c>
      <c r="E33" s="832">
        <f t="shared" si="47"/>
        <v>0</v>
      </c>
      <c r="F33" s="311">
        <f t="shared" si="37"/>
        <v>0</v>
      </c>
      <c r="G33" s="311">
        <f t="shared" si="38"/>
        <v>0</v>
      </c>
      <c r="H33" s="833">
        <f t="shared" si="39"/>
        <v>0</v>
      </c>
      <c r="I33" s="332"/>
      <c r="J33" s="835">
        <v>0</v>
      </c>
      <c r="K33" s="835">
        <f t="shared" si="49"/>
        <v>0</v>
      </c>
      <c r="L33" s="835">
        <f t="shared" si="49"/>
        <v>0</v>
      </c>
      <c r="M33" s="835">
        <f t="shared" si="49"/>
        <v>0</v>
      </c>
      <c r="N33" s="835">
        <f t="shared" si="49"/>
        <v>0</v>
      </c>
      <c r="O33" s="835">
        <f t="shared" si="49"/>
        <v>0</v>
      </c>
      <c r="P33" s="835">
        <f t="shared" si="49"/>
        <v>0</v>
      </c>
      <c r="Q33" s="835">
        <f t="shared" si="49"/>
        <v>0</v>
      </c>
      <c r="R33" s="835">
        <f t="shared" si="49"/>
        <v>0</v>
      </c>
      <c r="S33" s="835">
        <f t="shared" si="49"/>
        <v>0</v>
      </c>
      <c r="T33" s="835">
        <f t="shared" si="49"/>
        <v>0</v>
      </c>
      <c r="U33" s="835">
        <f t="shared" si="49"/>
        <v>0</v>
      </c>
      <c r="V33" s="835">
        <f t="shared" si="49"/>
        <v>0</v>
      </c>
      <c r="W33" s="835">
        <f t="shared" si="49"/>
        <v>0</v>
      </c>
      <c r="X33" s="835">
        <f t="shared" si="49"/>
        <v>0</v>
      </c>
      <c r="Y33" s="835">
        <f t="shared" si="49"/>
        <v>0</v>
      </c>
      <c r="Z33" s="835">
        <f t="shared" si="49"/>
        <v>0</v>
      </c>
      <c r="AA33" s="835">
        <f t="shared" si="48"/>
        <v>0</v>
      </c>
      <c r="AB33" s="835">
        <f t="shared" si="48"/>
        <v>0</v>
      </c>
      <c r="AC33" s="835">
        <f t="shared" si="48"/>
        <v>0</v>
      </c>
      <c r="AD33" s="835">
        <f t="shared" si="48"/>
        <v>0</v>
      </c>
      <c r="AE33" s="835">
        <f t="shared" si="48"/>
        <v>0</v>
      </c>
      <c r="AF33" s="835">
        <f t="shared" si="48"/>
        <v>0</v>
      </c>
      <c r="AG33" s="835">
        <f t="shared" si="48"/>
        <v>0</v>
      </c>
      <c r="AH33" s="835">
        <f t="shared" si="48"/>
        <v>0</v>
      </c>
      <c r="AI33" s="835">
        <f t="shared" si="48"/>
        <v>0</v>
      </c>
      <c r="AJ33" s="835">
        <f t="shared" si="48"/>
        <v>0</v>
      </c>
      <c r="AK33" s="835">
        <f t="shared" si="48"/>
        <v>0</v>
      </c>
      <c r="AL33" s="835">
        <f t="shared" si="48"/>
        <v>0</v>
      </c>
      <c r="AM33" s="835">
        <f t="shared" si="48"/>
        <v>0</v>
      </c>
      <c r="AN33" s="835">
        <f t="shared" si="48"/>
        <v>0</v>
      </c>
      <c r="AO33" s="835">
        <f t="shared" si="48"/>
        <v>0</v>
      </c>
      <c r="AP33" s="835">
        <f t="shared" si="43"/>
        <v>0</v>
      </c>
      <c r="AQ33" s="835">
        <f t="shared" si="44"/>
        <v>0</v>
      </c>
      <c r="AR33" s="835">
        <f t="shared" si="44"/>
        <v>0</v>
      </c>
      <c r="AS33" s="835">
        <f t="shared" si="44"/>
        <v>0</v>
      </c>
    </row>
    <row r="34" spans="1:45" hidden="1" outlineLevel="1">
      <c r="A34" s="9">
        <v>30</v>
      </c>
      <c r="B34" s="832"/>
      <c r="C34" s="840">
        <f t="shared" si="45"/>
        <v>0</v>
      </c>
      <c r="D34" s="840">
        <f t="shared" si="46"/>
        <v>0</v>
      </c>
      <c r="E34" s="832">
        <f t="shared" si="47"/>
        <v>0</v>
      </c>
      <c r="F34" s="311">
        <f t="shared" ref="F34" si="50">+B34-D34-E34</f>
        <v>0</v>
      </c>
      <c r="G34" s="311">
        <f t="shared" ref="G34" si="51">+F34/12</f>
        <v>0</v>
      </c>
      <c r="H34" s="833">
        <f t="shared" si="39"/>
        <v>0</v>
      </c>
      <c r="I34" s="332"/>
      <c r="J34" s="835">
        <v>0</v>
      </c>
      <c r="K34" s="835">
        <f t="shared" si="49"/>
        <v>0</v>
      </c>
      <c r="L34" s="835">
        <f t="shared" si="49"/>
        <v>0</v>
      </c>
      <c r="M34" s="835">
        <f t="shared" si="49"/>
        <v>0</v>
      </c>
      <c r="N34" s="835">
        <f t="shared" si="49"/>
        <v>0</v>
      </c>
      <c r="O34" s="835">
        <f t="shared" si="49"/>
        <v>0</v>
      </c>
      <c r="P34" s="835">
        <f t="shared" si="49"/>
        <v>0</v>
      </c>
      <c r="Q34" s="835">
        <f t="shared" si="49"/>
        <v>0</v>
      </c>
      <c r="R34" s="835">
        <f t="shared" si="49"/>
        <v>0</v>
      </c>
      <c r="S34" s="835">
        <f t="shared" si="49"/>
        <v>0</v>
      </c>
      <c r="T34" s="835">
        <f t="shared" si="49"/>
        <v>0</v>
      </c>
      <c r="U34" s="835">
        <f t="shared" si="49"/>
        <v>0</v>
      </c>
      <c r="V34" s="835">
        <f t="shared" si="49"/>
        <v>0</v>
      </c>
      <c r="W34" s="835">
        <f t="shared" si="49"/>
        <v>0</v>
      </c>
      <c r="X34" s="835">
        <f t="shared" si="49"/>
        <v>0</v>
      </c>
      <c r="Y34" s="835">
        <f t="shared" si="49"/>
        <v>0</v>
      </c>
      <c r="Z34" s="835">
        <f t="shared" si="49"/>
        <v>0</v>
      </c>
      <c r="AA34" s="835">
        <f t="shared" si="48"/>
        <v>0</v>
      </c>
      <c r="AB34" s="835">
        <f t="shared" si="48"/>
        <v>0</v>
      </c>
      <c r="AC34" s="835">
        <f t="shared" si="48"/>
        <v>0</v>
      </c>
      <c r="AD34" s="835">
        <f t="shared" si="48"/>
        <v>0</v>
      </c>
      <c r="AE34" s="835">
        <f t="shared" si="48"/>
        <v>0</v>
      </c>
      <c r="AF34" s="835">
        <f t="shared" si="48"/>
        <v>0</v>
      </c>
      <c r="AG34" s="835">
        <f t="shared" si="48"/>
        <v>0</v>
      </c>
      <c r="AH34" s="835">
        <f t="shared" si="48"/>
        <v>0</v>
      </c>
      <c r="AI34" s="835">
        <f t="shared" si="48"/>
        <v>0</v>
      </c>
      <c r="AJ34" s="835">
        <f t="shared" si="48"/>
        <v>0</v>
      </c>
      <c r="AK34" s="835">
        <f t="shared" si="48"/>
        <v>0</v>
      </c>
      <c r="AL34" s="835">
        <f t="shared" si="48"/>
        <v>0</v>
      </c>
      <c r="AM34" s="835">
        <f t="shared" si="48"/>
        <v>0</v>
      </c>
      <c r="AN34" s="835">
        <f t="shared" si="48"/>
        <v>0</v>
      </c>
      <c r="AO34" s="835">
        <f t="shared" si="48"/>
        <v>0</v>
      </c>
      <c r="AP34" s="835">
        <f t="shared" si="43"/>
        <v>0</v>
      </c>
      <c r="AQ34" s="835">
        <f t="shared" si="44"/>
        <v>0</v>
      </c>
      <c r="AR34" s="835">
        <f t="shared" si="44"/>
        <v>0</v>
      </c>
      <c r="AS34" s="835">
        <f t="shared" si="44"/>
        <v>0</v>
      </c>
    </row>
    <row r="35" spans="1:45" collapsed="1">
      <c r="A35" s="825"/>
      <c r="B35" s="839">
        <f>SUM(B5:B34)</f>
        <v>0</v>
      </c>
      <c r="C35" s="839">
        <f>SUM(C5:C34)</f>
        <v>0</v>
      </c>
      <c r="D35" s="839">
        <f>SUM(D5:D34)</f>
        <v>0</v>
      </c>
      <c r="E35" s="839">
        <f>SUM(E5:E34)</f>
        <v>0</v>
      </c>
      <c r="F35" s="839">
        <f>SUM(F5:F34)</f>
        <v>0</v>
      </c>
      <c r="G35" s="825"/>
      <c r="H35" s="833"/>
      <c r="I35" s="825"/>
      <c r="J35" s="826"/>
      <c r="K35" s="826"/>
      <c r="L35" s="826"/>
      <c r="M35" s="826"/>
      <c r="N35" s="826"/>
      <c r="O35" s="826"/>
      <c r="P35" s="826"/>
      <c r="Q35" s="826"/>
      <c r="R35" s="826"/>
      <c r="S35" s="826"/>
      <c r="T35" s="826"/>
      <c r="U35" s="826"/>
      <c r="V35" s="827"/>
      <c r="W35" s="827"/>
      <c r="X35" s="827"/>
      <c r="Y35" s="827"/>
      <c r="Z35" s="827"/>
      <c r="AA35" s="827"/>
      <c r="AB35" s="827"/>
      <c r="AC35" s="827"/>
      <c r="AD35" s="827"/>
      <c r="AE35" s="827"/>
      <c r="AF35" s="827"/>
      <c r="AG35" s="827"/>
      <c r="AH35" s="826"/>
      <c r="AI35" s="826"/>
      <c r="AJ35" s="826"/>
      <c r="AK35" s="826"/>
      <c r="AL35" s="826"/>
      <c r="AM35" s="826"/>
      <c r="AN35" s="826"/>
      <c r="AO35" s="826"/>
      <c r="AP35" s="826"/>
      <c r="AQ35" s="826"/>
      <c r="AR35" s="826"/>
      <c r="AS35" s="826"/>
    </row>
    <row r="36" spans="1:45">
      <c r="A36" s="825"/>
      <c r="B36" s="825"/>
      <c r="C36" s="825"/>
      <c r="D36" s="825"/>
      <c r="E36" s="825"/>
      <c r="F36" s="825"/>
      <c r="G36" s="825"/>
      <c r="H36" s="825"/>
      <c r="I36" s="825"/>
      <c r="J36" s="826"/>
      <c r="K36" s="826"/>
      <c r="L36" s="826"/>
      <c r="M36" s="826"/>
      <c r="N36" s="826"/>
      <c r="O36" s="826"/>
      <c r="P36" s="826"/>
      <c r="Q36" s="826"/>
      <c r="R36" s="826"/>
      <c r="S36" s="826"/>
      <c r="T36" s="826"/>
      <c r="U36" s="826"/>
      <c r="V36" s="827"/>
      <c r="W36" s="827"/>
      <c r="X36" s="827"/>
      <c r="Y36" s="827"/>
      <c r="Z36" s="827"/>
      <c r="AA36" s="827"/>
      <c r="AB36" s="827"/>
      <c r="AC36" s="827"/>
      <c r="AD36" s="827"/>
      <c r="AE36" s="827"/>
      <c r="AF36" s="827"/>
      <c r="AG36" s="827"/>
      <c r="AH36" s="826"/>
      <c r="AI36" s="826"/>
      <c r="AJ36" s="826"/>
      <c r="AK36" s="826"/>
      <c r="AL36" s="826"/>
      <c r="AM36" s="826"/>
      <c r="AN36" s="826"/>
      <c r="AO36" s="826"/>
      <c r="AP36" s="826"/>
      <c r="AQ36" s="826"/>
      <c r="AR36" s="826"/>
      <c r="AS36" s="826"/>
    </row>
    <row r="37" spans="1:45" ht="57">
      <c r="A37" s="830" t="s">
        <v>236</v>
      </c>
      <c r="B37" s="321"/>
      <c r="C37" s="321"/>
      <c r="D37" s="321"/>
      <c r="E37" s="321"/>
      <c r="F37" s="321"/>
      <c r="G37" s="322"/>
      <c r="H37" s="322"/>
      <c r="I37" s="321"/>
      <c r="J37" s="808">
        <f>+Cuestionario!$C$11</f>
        <v>44197</v>
      </c>
      <c r="K37" s="808">
        <f>EDATE(J37,1)</f>
        <v>44228</v>
      </c>
      <c r="L37" s="808">
        <f t="shared" ref="L37:AS37" si="52">EDATE(K37,1)</f>
        <v>44256</v>
      </c>
      <c r="M37" s="808">
        <f t="shared" si="52"/>
        <v>44287</v>
      </c>
      <c r="N37" s="808">
        <f t="shared" si="52"/>
        <v>44317</v>
      </c>
      <c r="O37" s="808">
        <f t="shared" si="52"/>
        <v>44348</v>
      </c>
      <c r="P37" s="808">
        <f t="shared" si="52"/>
        <v>44378</v>
      </c>
      <c r="Q37" s="808">
        <f t="shared" si="52"/>
        <v>44409</v>
      </c>
      <c r="R37" s="808">
        <f t="shared" si="52"/>
        <v>44440</v>
      </c>
      <c r="S37" s="808">
        <f t="shared" si="52"/>
        <v>44470</v>
      </c>
      <c r="T37" s="808">
        <f t="shared" si="52"/>
        <v>44501</v>
      </c>
      <c r="U37" s="808">
        <f t="shared" si="52"/>
        <v>44531</v>
      </c>
      <c r="V37" s="809">
        <f t="shared" si="52"/>
        <v>44562</v>
      </c>
      <c r="W37" s="809">
        <f t="shared" si="52"/>
        <v>44593</v>
      </c>
      <c r="X37" s="809">
        <f t="shared" si="52"/>
        <v>44621</v>
      </c>
      <c r="Y37" s="809">
        <f t="shared" si="52"/>
        <v>44652</v>
      </c>
      <c r="Z37" s="809">
        <f t="shared" si="52"/>
        <v>44682</v>
      </c>
      <c r="AA37" s="809">
        <f t="shared" si="52"/>
        <v>44713</v>
      </c>
      <c r="AB37" s="809">
        <f t="shared" si="52"/>
        <v>44743</v>
      </c>
      <c r="AC37" s="809">
        <f t="shared" si="52"/>
        <v>44774</v>
      </c>
      <c r="AD37" s="809">
        <f t="shared" si="52"/>
        <v>44805</v>
      </c>
      <c r="AE37" s="809">
        <f t="shared" si="52"/>
        <v>44835</v>
      </c>
      <c r="AF37" s="809">
        <f t="shared" si="52"/>
        <v>44866</v>
      </c>
      <c r="AG37" s="809">
        <f t="shared" si="52"/>
        <v>44896</v>
      </c>
      <c r="AH37" s="808">
        <f t="shared" si="52"/>
        <v>44927</v>
      </c>
      <c r="AI37" s="808">
        <f t="shared" si="52"/>
        <v>44958</v>
      </c>
      <c r="AJ37" s="808">
        <f t="shared" si="52"/>
        <v>44986</v>
      </c>
      <c r="AK37" s="808">
        <f t="shared" si="52"/>
        <v>45017</v>
      </c>
      <c r="AL37" s="808">
        <f t="shared" si="52"/>
        <v>45047</v>
      </c>
      <c r="AM37" s="808">
        <f t="shared" si="52"/>
        <v>45078</v>
      </c>
      <c r="AN37" s="808">
        <f t="shared" si="52"/>
        <v>45108</v>
      </c>
      <c r="AO37" s="808">
        <f t="shared" si="52"/>
        <v>45139</v>
      </c>
      <c r="AP37" s="808">
        <f t="shared" si="52"/>
        <v>45170</v>
      </c>
      <c r="AQ37" s="808">
        <f t="shared" si="52"/>
        <v>45200</v>
      </c>
      <c r="AR37" s="808">
        <f t="shared" si="52"/>
        <v>45231</v>
      </c>
      <c r="AS37" s="808">
        <f t="shared" si="52"/>
        <v>45261</v>
      </c>
    </row>
    <row r="38" spans="1:45" ht="31.5">
      <c r="A38" s="327" t="str">
        <f>+A4</f>
        <v>CARGO - FUNCIONES</v>
      </c>
      <c r="B38" s="328" t="s">
        <v>237</v>
      </c>
      <c r="C38" s="1238" t="s">
        <v>863</v>
      </c>
      <c r="D38" s="1238"/>
      <c r="E38" s="1238"/>
      <c r="F38" s="1238"/>
      <c r="G38" s="1238"/>
      <c r="H38" s="311" t="s">
        <v>241</v>
      </c>
      <c r="I38" s="329" t="s">
        <v>1274</v>
      </c>
      <c r="J38" s="330" t="s">
        <v>143</v>
      </c>
      <c r="K38" s="330" t="s">
        <v>144</v>
      </c>
      <c r="L38" s="330" t="s">
        <v>145</v>
      </c>
      <c r="M38" s="330" t="s">
        <v>146</v>
      </c>
      <c r="N38" s="330" t="s">
        <v>147</v>
      </c>
      <c r="O38" s="330" t="s">
        <v>148</v>
      </c>
      <c r="P38" s="330" t="s">
        <v>149</v>
      </c>
      <c r="Q38" s="330" t="s">
        <v>150</v>
      </c>
      <c r="R38" s="330" t="s">
        <v>151</v>
      </c>
      <c r="S38" s="330" t="s">
        <v>152</v>
      </c>
      <c r="T38" s="330" t="s">
        <v>153</v>
      </c>
      <c r="U38" s="330" t="s">
        <v>154</v>
      </c>
      <c r="V38" s="330" t="s">
        <v>155</v>
      </c>
      <c r="W38" s="330" t="s">
        <v>156</v>
      </c>
      <c r="X38" s="330" t="s">
        <v>157</v>
      </c>
      <c r="Y38" s="330" t="s">
        <v>158</v>
      </c>
      <c r="Z38" s="330" t="s">
        <v>159</v>
      </c>
      <c r="AA38" s="330" t="s">
        <v>160</v>
      </c>
      <c r="AB38" s="330" t="s">
        <v>161</v>
      </c>
      <c r="AC38" s="330" t="s">
        <v>162</v>
      </c>
      <c r="AD38" s="330" t="s">
        <v>163</v>
      </c>
      <c r="AE38" s="330" t="s">
        <v>164</v>
      </c>
      <c r="AF38" s="330" t="s">
        <v>165</v>
      </c>
      <c r="AG38" s="330" t="s">
        <v>166</v>
      </c>
      <c r="AH38" s="330" t="s">
        <v>167</v>
      </c>
      <c r="AI38" s="330" t="s">
        <v>168</v>
      </c>
      <c r="AJ38" s="330" t="s">
        <v>169</v>
      </c>
      <c r="AK38" s="330" t="s">
        <v>170</v>
      </c>
      <c r="AL38" s="330" t="s">
        <v>171</v>
      </c>
      <c r="AM38" s="330" t="s">
        <v>172</v>
      </c>
      <c r="AN38" s="330" t="s">
        <v>173</v>
      </c>
      <c r="AO38" s="330" t="s">
        <v>174</v>
      </c>
      <c r="AP38" s="330" t="s">
        <v>175</v>
      </c>
      <c r="AQ38" s="330" t="s">
        <v>176</v>
      </c>
      <c r="AR38" s="330" t="s">
        <v>177</v>
      </c>
      <c r="AS38" s="331" t="s">
        <v>178</v>
      </c>
    </row>
    <row r="39" spans="1:45">
      <c r="A39" s="836">
        <f>+A5</f>
        <v>1</v>
      </c>
      <c r="B39" s="837">
        <f>IF(ISERROR(+E5/B5),0,(+E5/B5))</f>
        <v>0</v>
      </c>
      <c r="C39" s="1235"/>
      <c r="D39" s="1236"/>
      <c r="E39" s="1236"/>
      <c r="F39" s="1236"/>
      <c r="G39" s="1237"/>
      <c r="H39" s="311">
        <f>SUM(J39:U39)</f>
        <v>0</v>
      </c>
      <c r="I39" s="1150">
        <f>IF(ISERROR(E5/B5),0,(E5/B5))</f>
        <v>0</v>
      </c>
      <c r="J39" s="311">
        <f>+$B5/12*J5</f>
        <v>0</v>
      </c>
      <c r="K39" s="311">
        <f t="shared" ref="K39:AS39" si="53">+$B5/12*K5</f>
        <v>0</v>
      </c>
      <c r="L39" s="311">
        <f t="shared" si="53"/>
        <v>0</v>
      </c>
      <c r="M39" s="311">
        <f t="shared" si="53"/>
        <v>0</v>
      </c>
      <c r="N39" s="311">
        <f t="shared" si="53"/>
        <v>0</v>
      </c>
      <c r="O39" s="311">
        <f t="shared" si="53"/>
        <v>0</v>
      </c>
      <c r="P39" s="311">
        <f t="shared" si="53"/>
        <v>0</v>
      </c>
      <c r="Q39" s="311">
        <f t="shared" si="53"/>
        <v>0</v>
      </c>
      <c r="R39" s="311">
        <f t="shared" si="53"/>
        <v>0</v>
      </c>
      <c r="S39" s="311">
        <f t="shared" si="53"/>
        <v>0</v>
      </c>
      <c r="T39" s="311">
        <f t="shared" si="53"/>
        <v>0</v>
      </c>
      <c r="U39" s="311">
        <f t="shared" si="53"/>
        <v>0</v>
      </c>
      <c r="V39" s="311">
        <f t="shared" si="53"/>
        <v>0</v>
      </c>
      <c r="W39" s="311">
        <f t="shared" si="53"/>
        <v>0</v>
      </c>
      <c r="X39" s="311">
        <f t="shared" si="53"/>
        <v>0</v>
      </c>
      <c r="Y39" s="311">
        <f t="shared" si="53"/>
        <v>0</v>
      </c>
      <c r="Z39" s="311">
        <f t="shared" si="53"/>
        <v>0</v>
      </c>
      <c r="AA39" s="311">
        <f t="shared" si="53"/>
        <v>0</v>
      </c>
      <c r="AB39" s="311">
        <f t="shared" si="53"/>
        <v>0</v>
      </c>
      <c r="AC39" s="311">
        <f t="shared" si="53"/>
        <v>0</v>
      </c>
      <c r="AD39" s="311">
        <f t="shared" si="53"/>
        <v>0</v>
      </c>
      <c r="AE39" s="311">
        <f t="shared" si="53"/>
        <v>0</v>
      </c>
      <c r="AF39" s="311">
        <f t="shared" si="53"/>
        <v>0</v>
      </c>
      <c r="AG39" s="311">
        <f t="shared" si="53"/>
        <v>0</v>
      </c>
      <c r="AH39" s="311">
        <f t="shared" si="53"/>
        <v>0</v>
      </c>
      <c r="AI39" s="311">
        <f t="shared" si="53"/>
        <v>0</v>
      </c>
      <c r="AJ39" s="311">
        <f t="shared" si="53"/>
        <v>0</v>
      </c>
      <c r="AK39" s="311">
        <f t="shared" si="53"/>
        <v>0</v>
      </c>
      <c r="AL39" s="311">
        <f t="shared" si="53"/>
        <v>0</v>
      </c>
      <c r="AM39" s="311">
        <f t="shared" si="53"/>
        <v>0</v>
      </c>
      <c r="AN39" s="311">
        <f t="shared" si="53"/>
        <v>0</v>
      </c>
      <c r="AO39" s="311">
        <f t="shared" si="53"/>
        <v>0</v>
      </c>
      <c r="AP39" s="311">
        <f t="shared" si="53"/>
        <v>0</v>
      </c>
      <c r="AQ39" s="311">
        <f t="shared" si="53"/>
        <v>0</v>
      </c>
      <c r="AR39" s="311">
        <f t="shared" si="53"/>
        <v>0</v>
      </c>
      <c r="AS39" s="311">
        <f t="shared" si="53"/>
        <v>0</v>
      </c>
    </row>
    <row r="40" spans="1:45">
      <c r="A40" s="836">
        <f t="shared" ref="A40:A68" si="54">+A6</f>
        <v>2</v>
      </c>
      <c r="B40" s="837">
        <f t="shared" ref="B40:B68" si="55">IF(ISERROR(+E6/B6),0,(+E6/B6))</f>
        <v>0</v>
      </c>
      <c r="C40" s="1235"/>
      <c r="D40" s="1236"/>
      <c r="E40" s="1236"/>
      <c r="F40" s="1236"/>
      <c r="G40" s="1237"/>
      <c r="H40" s="311">
        <f t="shared" ref="H40:H68" si="56">SUM(J40:U40)</f>
        <v>0</v>
      </c>
      <c r="I40" s="1150">
        <f t="shared" ref="I40:I68" si="57">IF(ISERROR(E6/B6),0,(E6/B6))</f>
        <v>0</v>
      </c>
      <c r="J40" s="311">
        <f t="shared" ref="J40:AS40" si="58">+$B6/12*J6</f>
        <v>0</v>
      </c>
      <c r="K40" s="311">
        <f t="shared" si="58"/>
        <v>0</v>
      </c>
      <c r="L40" s="311">
        <f t="shared" si="58"/>
        <v>0</v>
      </c>
      <c r="M40" s="311">
        <f t="shared" si="58"/>
        <v>0</v>
      </c>
      <c r="N40" s="311">
        <f t="shared" si="58"/>
        <v>0</v>
      </c>
      <c r="O40" s="311">
        <f t="shared" si="58"/>
        <v>0</v>
      </c>
      <c r="P40" s="311">
        <f t="shared" si="58"/>
        <v>0</v>
      </c>
      <c r="Q40" s="311">
        <f t="shared" si="58"/>
        <v>0</v>
      </c>
      <c r="R40" s="311">
        <f t="shared" si="58"/>
        <v>0</v>
      </c>
      <c r="S40" s="311">
        <f t="shared" si="58"/>
        <v>0</v>
      </c>
      <c r="T40" s="311">
        <f t="shared" si="58"/>
        <v>0</v>
      </c>
      <c r="U40" s="311">
        <f t="shared" si="58"/>
        <v>0</v>
      </c>
      <c r="V40" s="311">
        <f t="shared" si="58"/>
        <v>0</v>
      </c>
      <c r="W40" s="311">
        <f t="shared" si="58"/>
        <v>0</v>
      </c>
      <c r="X40" s="311">
        <f t="shared" si="58"/>
        <v>0</v>
      </c>
      <c r="Y40" s="311">
        <f t="shared" si="58"/>
        <v>0</v>
      </c>
      <c r="Z40" s="311">
        <f t="shared" si="58"/>
        <v>0</v>
      </c>
      <c r="AA40" s="311">
        <f t="shared" si="58"/>
        <v>0</v>
      </c>
      <c r="AB40" s="311">
        <f t="shared" si="58"/>
        <v>0</v>
      </c>
      <c r="AC40" s="311">
        <f t="shared" si="58"/>
        <v>0</v>
      </c>
      <c r="AD40" s="311">
        <f t="shared" si="58"/>
        <v>0</v>
      </c>
      <c r="AE40" s="311">
        <f t="shared" si="58"/>
        <v>0</v>
      </c>
      <c r="AF40" s="311">
        <f t="shared" si="58"/>
        <v>0</v>
      </c>
      <c r="AG40" s="311">
        <f t="shared" si="58"/>
        <v>0</v>
      </c>
      <c r="AH40" s="311">
        <f t="shared" si="58"/>
        <v>0</v>
      </c>
      <c r="AI40" s="311">
        <f t="shared" si="58"/>
        <v>0</v>
      </c>
      <c r="AJ40" s="311">
        <f t="shared" si="58"/>
        <v>0</v>
      </c>
      <c r="AK40" s="311">
        <f t="shared" si="58"/>
        <v>0</v>
      </c>
      <c r="AL40" s="311">
        <f t="shared" si="58"/>
        <v>0</v>
      </c>
      <c r="AM40" s="311">
        <f t="shared" si="58"/>
        <v>0</v>
      </c>
      <c r="AN40" s="311">
        <f t="shared" si="58"/>
        <v>0</v>
      </c>
      <c r="AO40" s="311">
        <f t="shared" si="58"/>
        <v>0</v>
      </c>
      <c r="AP40" s="311">
        <f t="shared" si="58"/>
        <v>0</v>
      </c>
      <c r="AQ40" s="311">
        <f t="shared" si="58"/>
        <v>0</v>
      </c>
      <c r="AR40" s="311">
        <f t="shared" si="58"/>
        <v>0</v>
      </c>
      <c r="AS40" s="311">
        <f t="shared" si="58"/>
        <v>0</v>
      </c>
    </row>
    <row r="41" spans="1:45">
      <c r="A41" s="836">
        <f t="shared" si="54"/>
        <v>3</v>
      </c>
      <c r="B41" s="837">
        <f t="shared" si="55"/>
        <v>0</v>
      </c>
      <c r="C41" s="1235"/>
      <c r="D41" s="1236"/>
      <c r="E41" s="1236"/>
      <c r="F41" s="1236"/>
      <c r="G41" s="1237"/>
      <c r="H41" s="311">
        <f t="shared" si="56"/>
        <v>0</v>
      </c>
      <c r="I41" s="1150">
        <f t="shared" si="57"/>
        <v>0</v>
      </c>
      <c r="J41" s="311">
        <f t="shared" ref="J41:AS41" si="59">+$B7/12*J7</f>
        <v>0</v>
      </c>
      <c r="K41" s="311">
        <f t="shared" si="59"/>
        <v>0</v>
      </c>
      <c r="L41" s="311">
        <f t="shared" si="59"/>
        <v>0</v>
      </c>
      <c r="M41" s="311">
        <f t="shared" si="59"/>
        <v>0</v>
      </c>
      <c r="N41" s="311">
        <f t="shared" si="59"/>
        <v>0</v>
      </c>
      <c r="O41" s="311">
        <f t="shared" si="59"/>
        <v>0</v>
      </c>
      <c r="P41" s="311">
        <f t="shared" si="59"/>
        <v>0</v>
      </c>
      <c r="Q41" s="311">
        <f t="shared" si="59"/>
        <v>0</v>
      </c>
      <c r="R41" s="311">
        <f t="shared" si="59"/>
        <v>0</v>
      </c>
      <c r="S41" s="311">
        <f t="shared" si="59"/>
        <v>0</v>
      </c>
      <c r="T41" s="311">
        <f t="shared" si="59"/>
        <v>0</v>
      </c>
      <c r="U41" s="311">
        <f t="shared" si="59"/>
        <v>0</v>
      </c>
      <c r="V41" s="311">
        <f t="shared" si="59"/>
        <v>0</v>
      </c>
      <c r="W41" s="311">
        <f t="shared" si="59"/>
        <v>0</v>
      </c>
      <c r="X41" s="311">
        <f t="shared" si="59"/>
        <v>0</v>
      </c>
      <c r="Y41" s="311">
        <f t="shared" si="59"/>
        <v>0</v>
      </c>
      <c r="Z41" s="311">
        <f t="shared" si="59"/>
        <v>0</v>
      </c>
      <c r="AA41" s="311">
        <f t="shared" si="59"/>
        <v>0</v>
      </c>
      <c r="AB41" s="311">
        <f t="shared" si="59"/>
        <v>0</v>
      </c>
      <c r="AC41" s="311">
        <f t="shared" si="59"/>
        <v>0</v>
      </c>
      <c r="AD41" s="311">
        <f t="shared" si="59"/>
        <v>0</v>
      </c>
      <c r="AE41" s="311">
        <f t="shared" si="59"/>
        <v>0</v>
      </c>
      <c r="AF41" s="311">
        <f t="shared" si="59"/>
        <v>0</v>
      </c>
      <c r="AG41" s="311">
        <f t="shared" si="59"/>
        <v>0</v>
      </c>
      <c r="AH41" s="311">
        <f t="shared" si="59"/>
        <v>0</v>
      </c>
      <c r="AI41" s="311">
        <f t="shared" si="59"/>
        <v>0</v>
      </c>
      <c r="AJ41" s="311">
        <f t="shared" si="59"/>
        <v>0</v>
      </c>
      <c r="AK41" s="311">
        <f t="shared" si="59"/>
        <v>0</v>
      </c>
      <c r="AL41" s="311">
        <f t="shared" si="59"/>
        <v>0</v>
      </c>
      <c r="AM41" s="311">
        <f t="shared" si="59"/>
        <v>0</v>
      </c>
      <c r="AN41" s="311">
        <f t="shared" si="59"/>
        <v>0</v>
      </c>
      <c r="AO41" s="311">
        <f t="shared" si="59"/>
        <v>0</v>
      </c>
      <c r="AP41" s="311">
        <f t="shared" si="59"/>
        <v>0</v>
      </c>
      <c r="AQ41" s="311">
        <f t="shared" si="59"/>
        <v>0</v>
      </c>
      <c r="AR41" s="311">
        <f t="shared" si="59"/>
        <v>0</v>
      </c>
      <c r="AS41" s="311">
        <f t="shared" si="59"/>
        <v>0</v>
      </c>
    </row>
    <row r="42" spans="1:45">
      <c r="A42" s="836">
        <f t="shared" si="54"/>
        <v>4</v>
      </c>
      <c r="B42" s="837">
        <f t="shared" si="55"/>
        <v>0</v>
      </c>
      <c r="C42" s="1235"/>
      <c r="D42" s="1236"/>
      <c r="E42" s="1236"/>
      <c r="F42" s="1236"/>
      <c r="G42" s="1237"/>
      <c r="H42" s="311">
        <f>SUM(J42:U42)</f>
        <v>0</v>
      </c>
      <c r="I42" s="1150">
        <f t="shared" si="57"/>
        <v>0</v>
      </c>
      <c r="J42" s="311">
        <f t="shared" ref="J42:AS42" si="60">+$B8/12*J8</f>
        <v>0</v>
      </c>
      <c r="K42" s="311">
        <f t="shared" si="60"/>
        <v>0</v>
      </c>
      <c r="L42" s="311">
        <f t="shared" si="60"/>
        <v>0</v>
      </c>
      <c r="M42" s="311">
        <f t="shared" si="60"/>
        <v>0</v>
      </c>
      <c r="N42" s="311">
        <f t="shared" si="60"/>
        <v>0</v>
      </c>
      <c r="O42" s="311">
        <f t="shared" si="60"/>
        <v>0</v>
      </c>
      <c r="P42" s="311">
        <f t="shared" si="60"/>
        <v>0</v>
      </c>
      <c r="Q42" s="311">
        <f t="shared" si="60"/>
        <v>0</v>
      </c>
      <c r="R42" s="311">
        <f t="shared" si="60"/>
        <v>0</v>
      </c>
      <c r="S42" s="311">
        <f t="shared" si="60"/>
        <v>0</v>
      </c>
      <c r="T42" s="311">
        <f t="shared" si="60"/>
        <v>0</v>
      </c>
      <c r="U42" s="311">
        <f t="shared" si="60"/>
        <v>0</v>
      </c>
      <c r="V42" s="311">
        <f t="shared" si="60"/>
        <v>0</v>
      </c>
      <c r="W42" s="311">
        <f t="shared" si="60"/>
        <v>0</v>
      </c>
      <c r="X42" s="311">
        <f t="shared" si="60"/>
        <v>0</v>
      </c>
      <c r="Y42" s="311">
        <f t="shared" si="60"/>
        <v>0</v>
      </c>
      <c r="Z42" s="311">
        <f t="shared" si="60"/>
        <v>0</v>
      </c>
      <c r="AA42" s="311">
        <f t="shared" si="60"/>
        <v>0</v>
      </c>
      <c r="AB42" s="311">
        <f t="shared" si="60"/>
        <v>0</v>
      </c>
      <c r="AC42" s="311">
        <f t="shared" si="60"/>
        <v>0</v>
      </c>
      <c r="AD42" s="311">
        <f t="shared" si="60"/>
        <v>0</v>
      </c>
      <c r="AE42" s="311">
        <f t="shared" si="60"/>
        <v>0</v>
      </c>
      <c r="AF42" s="311">
        <f t="shared" si="60"/>
        <v>0</v>
      </c>
      <c r="AG42" s="311">
        <f t="shared" si="60"/>
        <v>0</v>
      </c>
      <c r="AH42" s="311">
        <f t="shared" si="60"/>
        <v>0</v>
      </c>
      <c r="AI42" s="311">
        <f t="shared" si="60"/>
        <v>0</v>
      </c>
      <c r="AJ42" s="311">
        <f t="shared" si="60"/>
        <v>0</v>
      </c>
      <c r="AK42" s="311">
        <f t="shared" si="60"/>
        <v>0</v>
      </c>
      <c r="AL42" s="311">
        <f t="shared" si="60"/>
        <v>0</v>
      </c>
      <c r="AM42" s="311">
        <f t="shared" si="60"/>
        <v>0</v>
      </c>
      <c r="AN42" s="311">
        <f t="shared" si="60"/>
        <v>0</v>
      </c>
      <c r="AO42" s="311">
        <f t="shared" si="60"/>
        <v>0</v>
      </c>
      <c r="AP42" s="311">
        <f t="shared" si="60"/>
        <v>0</v>
      </c>
      <c r="AQ42" s="311">
        <f t="shared" si="60"/>
        <v>0</v>
      </c>
      <c r="AR42" s="311">
        <f t="shared" si="60"/>
        <v>0</v>
      </c>
      <c r="AS42" s="311">
        <f t="shared" si="60"/>
        <v>0</v>
      </c>
    </row>
    <row r="43" spans="1:45">
      <c r="A43" s="836">
        <f t="shared" si="54"/>
        <v>5</v>
      </c>
      <c r="B43" s="837">
        <f t="shared" si="55"/>
        <v>0</v>
      </c>
      <c r="C43" s="1235"/>
      <c r="D43" s="1236"/>
      <c r="E43" s="1236"/>
      <c r="F43" s="1236"/>
      <c r="G43" s="1237"/>
      <c r="H43" s="311">
        <f t="shared" si="56"/>
        <v>0</v>
      </c>
      <c r="I43" s="1150">
        <f t="shared" si="57"/>
        <v>0</v>
      </c>
      <c r="J43" s="311">
        <f t="shared" ref="J43:AS43" si="61">+$B9/12*J9</f>
        <v>0</v>
      </c>
      <c r="K43" s="311">
        <f t="shared" si="61"/>
        <v>0</v>
      </c>
      <c r="L43" s="311">
        <f t="shared" si="61"/>
        <v>0</v>
      </c>
      <c r="M43" s="311">
        <f t="shared" si="61"/>
        <v>0</v>
      </c>
      <c r="N43" s="311">
        <f t="shared" si="61"/>
        <v>0</v>
      </c>
      <c r="O43" s="311">
        <f t="shared" si="61"/>
        <v>0</v>
      </c>
      <c r="P43" s="311">
        <f t="shared" si="61"/>
        <v>0</v>
      </c>
      <c r="Q43" s="311">
        <f t="shared" si="61"/>
        <v>0</v>
      </c>
      <c r="R43" s="311">
        <f t="shared" si="61"/>
        <v>0</v>
      </c>
      <c r="S43" s="311">
        <f t="shared" si="61"/>
        <v>0</v>
      </c>
      <c r="T43" s="311">
        <f t="shared" si="61"/>
        <v>0</v>
      </c>
      <c r="U43" s="311">
        <f t="shared" si="61"/>
        <v>0</v>
      </c>
      <c r="V43" s="311">
        <f t="shared" si="61"/>
        <v>0</v>
      </c>
      <c r="W43" s="311">
        <f t="shared" si="61"/>
        <v>0</v>
      </c>
      <c r="X43" s="311">
        <f t="shared" si="61"/>
        <v>0</v>
      </c>
      <c r="Y43" s="311">
        <f t="shared" si="61"/>
        <v>0</v>
      </c>
      <c r="Z43" s="311">
        <f t="shared" si="61"/>
        <v>0</v>
      </c>
      <c r="AA43" s="311">
        <f t="shared" si="61"/>
        <v>0</v>
      </c>
      <c r="AB43" s="311">
        <f t="shared" si="61"/>
        <v>0</v>
      </c>
      <c r="AC43" s="311">
        <f t="shared" si="61"/>
        <v>0</v>
      </c>
      <c r="AD43" s="311">
        <f t="shared" si="61"/>
        <v>0</v>
      </c>
      <c r="AE43" s="311">
        <f t="shared" si="61"/>
        <v>0</v>
      </c>
      <c r="AF43" s="311">
        <f t="shared" si="61"/>
        <v>0</v>
      </c>
      <c r="AG43" s="311">
        <f t="shared" si="61"/>
        <v>0</v>
      </c>
      <c r="AH43" s="311">
        <f t="shared" si="61"/>
        <v>0</v>
      </c>
      <c r="AI43" s="311">
        <f t="shared" si="61"/>
        <v>0</v>
      </c>
      <c r="AJ43" s="311">
        <f t="shared" si="61"/>
        <v>0</v>
      </c>
      <c r="AK43" s="311">
        <f t="shared" si="61"/>
        <v>0</v>
      </c>
      <c r="AL43" s="311">
        <f t="shared" si="61"/>
        <v>0</v>
      </c>
      <c r="AM43" s="311">
        <f t="shared" si="61"/>
        <v>0</v>
      </c>
      <c r="AN43" s="311">
        <f t="shared" si="61"/>
        <v>0</v>
      </c>
      <c r="AO43" s="311">
        <f t="shared" si="61"/>
        <v>0</v>
      </c>
      <c r="AP43" s="311">
        <f t="shared" si="61"/>
        <v>0</v>
      </c>
      <c r="AQ43" s="311">
        <f t="shared" si="61"/>
        <v>0</v>
      </c>
      <c r="AR43" s="311">
        <f t="shared" si="61"/>
        <v>0</v>
      </c>
      <c r="AS43" s="311">
        <f t="shared" si="61"/>
        <v>0</v>
      </c>
    </row>
    <row r="44" spans="1:45">
      <c r="A44" s="836">
        <f t="shared" si="54"/>
        <v>6</v>
      </c>
      <c r="B44" s="837">
        <f t="shared" si="55"/>
        <v>0</v>
      </c>
      <c r="C44" s="1235"/>
      <c r="D44" s="1236"/>
      <c r="E44" s="1236"/>
      <c r="F44" s="1236"/>
      <c r="G44" s="1237"/>
      <c r="H44" s="311">
        <f t="shared" si="56"/>
        <v>0</v>
      </c>
      <c r="I44" s="1150">
        <f t="shared" si="57"/>
        <v>0</v>
      </c>
      <c r="J44" s="311">
        <f t="shared" ref="J44:AS44" si="62">+$B10/12*J10</f>
        <v>0</v>
      </c>
      <c r="K44" s="311">
        <f t="shared" si="62"/>
        <v>0</v>
      </c>
      <c r="L44" s="311">
        <f t="shared" si="62"/>
        <v>0</v>
      </c>
      <c r="M44" s="311">
        <f t="shared" si="62"/>
        <v>0</v>
      </c>
      <c r="N44" s="311">
        <f t="shared" si="62"/>
        <v>0</v>
      </c>
      <c r="O44" s="311">
        <f t="shared" si="62"/>
        <v>0</v>
      </c>
      <c r="P44" s="311">
        <f t="shared" si="62"/>
        <v>0</v>
      </c>
      <c r="Q44" s="311">
        <f t="shared" si="62"/>
        <v>0</v>
      </c>
      <c r="R44" s="311">
        <f t="shared" si="62"/>
        <v>0</v>
      </c>
      <c r="S44" s="311">
        <f t="shared" si="62"/>
        <v>0</v>
      </c>
      <c r="T44" s="311">
        <f t="shared" si="62"/>
        <v>0</v>
      </c>
      <c r="U44" s="311">
        <f t="shared" si="62"/>
        <v>0</v>
      </c>
      <c r="V44" s="311">
        <f t="shared" si="62"/>
        <v>0</v>
      </c>
      <c r="W44" s="311">
        <f t="shared" si="62"/>
        <v>0</v>
      </c>
      <c r="X44" s="311">
        <f t="shared" si="62"/>
        <v>0</v>
      </c>
      <c r="Y44" s="311">
        <f t="shared" si="62"/>
        <v>0</v>
      </c>
      <c r="Z44" s="311">
        <f t="shared" si="62"/>
        <v>0</v>
      </c>
      <c r="AA44" s="311">
        <f t="shared" si="62"/>
        <v>0</v>
      </c>
      <c r="AB44" s="311">
        <f t="shared" si="62"/>
        <v>0</v>
      </c>
      <c r="AC44" s="311">
        <f t="shared" si="62"/>
        <v>0</v>
      </c>
      <c r="AD44" s="311">
        <f t="shared" si="62"/>
        <v>0</v>
      </c>
      <c r="AE44" s="311">
        <f t="shared" si="62"/>
        <v>0</v>
      </c>
      <c r="AF44" s="311">
        <f t="shared" si="62"/>
        <v>0</v>
      </c>
      <c r="AG44" s="311">
        <f t="shared" si="62"/>
        <v>0</v>
      </c>
      <c r="AH44" s="311">
        <f t="shared" si="62"/>
        <v>0</v>
      </c>
      <c r="AI44" s="311">
        <f t="shared" si="62"/>
        <v>0</v>
      </c>
      <c r="AJ44" s="311">
        <f t="shared" si="62"/>
        <v>0</v>
      </c>
      <c r="AK44" s="311">
        <f t="shared" si="62"/>
        <v>0</v>
      </c>
      <c r="AL44" s="311">
        <f t="shared" si="62"/>
        <v>0</v>
      </c>
      <c r="AM44" s="311">
        <f t="shared" si="62"/>
        <v>0</v>
      </c>
      <c r="AN44" s="311">
        <f t="shared" si="62"/>
        <v>0</v>
      </c>
      <c r="AO44" s="311">
        <f t="shared" si="62"/>
        <v>0</v>
      </c>
      <c r="AP44" s="311">
        <f t="shared" si="62"/>
        <v>0</v>
      </c>
      <c r="AQ44" s="311">
        <f t="shared" si="62"/>
        <v>0</v>
      </c>
      <c r="AR44" s="311">
        <f t="shared" si="62"/>
        <v>0</v>
      </c>
      <c r="AS44" s="311">
        <f t="shared" si="62"/>
        <v>0</v>
      </c>
    </row>
    <row r="45" spans="1:45">
      <c r="A45" s="836">
        <f t="shared" si="54"/>
        <v>7</v>
      </c>
      <c r="B45" s="837">
        <f t="shared" si="55"/>
        <v>0</v>
      </c>
      <c r="C45" s="1235"/>
      <c r="D45" s="1236"/>
      <c r="E45" s="1236"/>
      <c r="F45" s="1236"/>
      <c r="G45" s="1237"/>
      <c r="H45" s="311">
        <f t="shared" si="56"/>
        <v>0</v>
      </c>
      <c r="I45" s="1150">
        <f t="shared" si="57"/>
        <v>0</v>
      </c>
      <c r="J45" s="311">
        <f t="shared" ref="J45:AS45" si="63">+$B11/12*J11</f>
        <v>0</v>
      </c>
      <c r="K45" s="311">
        <f t="shared" si="63"/>
        <v>0</v>
      </c>
      <c r="L45" s="311">
        <f t="shared" si="63"/>
        <v>0</v>
      </c>
      <c r="M45" s="311">
        <f t="shared" si="63"/>
        <v>0</v>
      </c>
      <c r="N45" s="311">
        <f t="shared" si="63"/>
        <v>0</v>
      </c>
      <c r="O45" s="311">
        <f t="shared" si="63"/>
        <v>0</v>
      </c>
      <c r="P45" s="311">
        <f t="shared" si="63"/>
        <v>0</v>
      </c>
      <c r="Q45" s="311">
        <f t="shared" si="63"/>
        <v>0</v>
      </c>
      <c r="R45" s="311">
        <f t="shared" si="63"/>
        <v>0</v>
      </c>
      <c r="S45" s="311">
        <f t="shared" si="63"/>
        <v>0</v>
      </c>
      <c r="T45" s="311">
        <f t="shared" si="63"/>
        <v>0</v>
      </c>
      <c r="U45" s="311">
        <f t="shared" si="63"/>
        <v>0</v>
      </c>
      <c r="V45" s="311">
        <f t="shared" si="63"/>
        <v>0</v>
      </c>
      <c r="W45" s="311">
        <f t="shared" si="63"/>
        <v>0</v>
      </c>
      <c r="X45" s="311">
        <f t="shared" si="63"/>
        <v>0</v>
      </c>
      <c r="Y45" s="311">
        <f t="shared" si="63"/>
        <v>0</v>
      </c>
      <c r="Z45" s="311">
        <f t="shared" si="63"/>
        <v>0</v>
      </c>
      <c r="AA45" s="311">
        <f t="shared" si="63"/>
        <v>0</v>
      </c>
      <c r="AB45" s="311">
        <f t="shared" si="63"/>
        <v>0</v>
      </c>
      <c r="AC45" s="311">
        <f t="shared" si="63"/>
        <v>0</v>
      </c>
      <c r="AD45" s="311">
        <f t="shared" si="63"/>
        <v>0</v>
      </c>
      <c r="AE45" s="311">
        <f t="shared" si="63"/>
        <v>0</v>
      </c>
      <c r="AF45" s="311">
        <f t="shared" si="63"/>
        <v>0</v>
      </c>
      <c r="AG45" s="311">
        <f t="shared" si="63"/>
        <v>0</v>
      </c>
      <c r="AH45" s="311">
        <f t="shared" si="63"/>
        <v>0</v>
      </c>
      <c r="AI45" s="311">
        <f t="shared" si="63"/>
        <v>0</v>
      </c>
      <c r="AJ45" s="311">
        <f t="shared" si="63"/>
        <v>0</v>
      </c>
      <c r="AK45" s="311">
        <f t="shared" si="63"/>
        <v>0</v>
      </c>
      <c r="AL45" s="311">
        <f t="shared" si="63"/>
        <v>0</v>
      </c>
      <c r="AM45" s="311">
        <f t="shared" si="63"/>
        <v>0</v>
      </c>
      <c r="AN45" s="311">
        <f t="shared" si="63"/>
        <v>0</v>
      </c>
      <c r="AO45" s="311">
        <f t="shared" si="63"/>
        <v>0</v>
      </c>
      <c r="AP45" s="311">
        <f t="shared" si="63"/>
        <v>0</v>
      </c>
      <c r="AQ45" s="311">
        <f t="shared" si="63"/>
        <v>0</v>
      </c>
      <c r="AR45" s="311">
        <f t="shared" si="63"/>
        <v>0</v>
      </c>
      <c r="AS45" s="311">
        <f t="shared" si="63"/>
        <v>0</v>
      </c>
    </row>
    <row r="46" spans="1:45">
      <c r="A46" s="836">
        <f t="shared" si="54"/>
        <v>8</v>
      </c>
      <c r="B46" s="837">
        <f t="shared" si="55"/>
        <v>0</v>
      </c>
      <c r="C46" s="1235"/>
      <c r="D46" s="1236"/>
      <c r="E46" s="1236"/>
      <c r="F46" s="1236"/>
      <c r="G46" s="1237"/>
      <c r="H46" s="311">
        <f t="shared" si="56"/>
        <v>0</v>
      </c>
      <c r="I46" s="1150">
        <f t="shared" si="57"/>
        <v>0</v>
      </c>
      <c r="J46" s="311">
        <f t="shared" ref="J46:AS46" si="64">+$B12/12*J12</f>
        <v>0</v>
      </c>
      <c r="K46" s="311">
        <f t="shared" si="64"/>
        <v>0</v>
      </c>
      <c r="L46" s="311">
        <f t="shared" si="64"/>
        <v>0</v>
      </c>
      <c r="M46" s="311">
        <f t="shared" si="64"/>
        <v>0</v>
      </c>
      <c r="N46" s="311">
        <f t="shared" si="64"/>
        <v>0</v>
      </c>
      <c r="O46" s="311">
        <f t="shared" si="64"/>
        <v>0</v>
      </c>
      <c r="P46" s="311">
        <f t="shared" si="64"/>
        <v>0</v>
      </c>
      <c r="Q46" s="311">
        <f t="shared" si="64"/>
        <v>0</v>
      </c>
      <c r="R46" s="311">
        <f t="shared" si="64"/>
        <v>0</v>
      </c>
      <c r="S46" s="311">
        <f t="shared" si="64"/>
        <v>0</v>
      </c>
      <c r="T46" s="311">
        <f t="shared" si="64"/>
        <v>0</v>
      </c>
      <c r="U46" s="311">
        <f t="shared" si="64"/>
        <v>0</v>
      </c>
      <c r="V46" s="311">
        <f t="shared" si="64"/>
        <v>0</v>
      </c>
      <c r="W46" s="311">
        <f t="shared" si="64"/>
        <v>0</v>
      </c>
      <c r="X46" s="311">
        <f t="shared" si="64"/>
        <v>0</v>
      </c>
      <c r="Y46" s="311">
        <f t="shared" si="64"/>
        <v>0</v>
      </c>
      <c r="Z46" s="311">
        <f t="shared" si="64"/>
        <v>0</v>
      </c>
      <c r="AA46" s="311">
        <f t="shared" si="64"/>
        <v>0</v>
      </c>
      <c r="AB46" s="311">
        <f t="shared" si="64"/>
        <v>0</v>
      </c>
      <c r="AC46" s="311">
        <f t="shared" si="64"/>
        <v>0</v>
      </c>
      <c r="AD46" s="311">
        <f t="shared" si="64"/>
        <v>0</v>
      </c>
      <c r="AE46" s="311">
        <f t="shared" si="64"/>
        <v>0</v>
      </c>
      <c r="AF46" s="311">
        <f t="shared" si="64"/>
        <v>0</v>
      </c>
      <c r="AG46" s="311">
        <f t="shared" si="64"/>
        <v>0</v>
      </c>
      <c r="AH46" s="311">
        <f t="shared" si="64"/>
        <v>0</v>
      </c>
      <c r="AI46" s="311">
        <f t="shared" si="64"/>
        <v>0</v>
      </c>
      <c r="AJ46" s="311">
        <f t="shared" si="64"/>
        <v>0</v>
      </c>
      <c r="AK46" s="311">
        <f t="shared" si="64"/>
        <v>0</v>
      </c>
      <c r="AL46" s="311">
        <f t="shared" si="64"/>
        <v>0</v>
      </c>
      <c r="AM46" s="311">
        <f t="shared" si="64"/>
        <v>0</v>
      </c>
      <c r="AN46" s="311">
        <f t="shared" si="64"/>
        <v>0</v>
      </c>
      <c r="AO46" s="311">
        <f t="shared" si="64"/>
        <v>0</v>
      </c>
      <c r="AP46" s="311">
        <f t="shared" si="64"/>
        <v>0</v>
      </c>
      <c r="AQ46" s="311">
        <f t="shared" si="64"/>
        <v>0</v>
      </c>
      <c r="AR46" s="311">
        <f t="shared" si="64"/>
        <v>0</v>
      </c>
      <c r="AS46" s="311">
        <f t="shared" si="64"/>
        <v>0</v>
      </c>
    </row>
    <row r="47" spans="1:45">
      <c r="A47" s="836">
        <f t="shared" si="54"/>
        <v>9</v>
      </c>
      <c r="B47" s="837">
        <f t="shared" si="55"/>
        <v>0</v>
      </c>
      <c r="C47" s="1235"/>
      <c r="D47" s="1236"/>
      <c r="E47" s="1236"/>
      <c r="F47" s="1236"/>
      <c r="G47" s="1237"/>
      <c r="H47" s="311">
        <f t="shared" si="56"/>
        <v>0</v>
      </c>
      <c r="I47" s="1150">
        <f t="shared" si="57"/>
        <v>0</v>
      </c>
      <c r="J47" s="311">
        <f t="shared" ref="J47:AS47" si="65">+$B13/12*J13</f>
        <v>0</v>
      </c>
      <c r="K47" s="311">
        <f t="shared" si="65"/>
        <v>0</v>
      </c>
      <c r="L47" s="311">
        <f t="shared" si="65"/>
        <v>0</v>
      </c>
      <c r="M47" s="311">
        <f t="shared" si="65"/>
        <v>0</v>
      </c>
      <c r="N47" s="311">
        <f t="shared" si="65"/>
        <v>0</v>
      </c>
      <c r="O47" s="311">
        <f t="shared" si="65"/>
        <v>0</v>
      </c>
      <c r="P47" s="311">
        <f t="shared" si="65"/>
        <v>0</v>
      </c>
      <c r="Q47" s="311">
        <f t="shared" si="65"/>
        <v>0</v>
      </c>
      <c r="R47" s="311">
        <f t="shared" si="65"/>
        <v>0</v>
      </c>
      <c r="S47" s="311">
        <f t="shared" si="65"/>
        <v>0</v>
      </c>
      <c r="T47" s="311">
        <f t="shared" si="65"/>
        <v>0</v>
      </c>
      <c r="U47" s="311">
        <f t="shared" si="65"/>
        <v>0</v>
      </c>
      <c r="V47" s="311">
        <f t="shared" si="65"/>
        <v>0</v>
      </c>
      <c r="W47" s="311">
        <f t="shared" si="65"/>
        <v>0</v>
      </c>
      <c r="X47" s="311">
        <f t="shared" si="65"/>
        <v>0</v>
      </c>
      <c r="Y47" s="311">
        <f t="shared" si="65"/>
        <v>0</v>
      </c>
      <c r="Z47" s="311">
        <f t="shared" si="65"/>
        <v>0</v>
      </c>
      <c r="AA47" s="311">
        <f t="shared" si="65"/>
        <v>0</v>
      </c>
      <c r="AB47" s="311">
        <f t="shared" si="65"/>
        <v>0</v>
      </c>
      <c r="AC47" s="311">
        <f t="shared" si="65"/>
        <v>0</v>
      </c>
      <c r="AD47" s="311">
        <f t="shared" si="65"/>
        <v>0</v>
      </c>
      <c r="AE47" s="311">
        <f t="shared" si="65"/>
        <v>0</v>
      </c>
      <c r="AF47" s="311">
        <f t="shared" si="65"/>
        <v>0</v>
      </c>
      <c r="AG47" s="311">
        <f t="shared" si="65"/>
        <v>0</v>
      </c>
      <c r="AH47" s="311">
        <f t="shared" si="65"/>
        <v>0</v>
      </c>
      <c r="AI47" s="311">
        <f t="shared" si="65"/>
        <v>0</v>
      </c>
      <c r="AJ47" s="311">
        <f t="shared" si="65"/>
        <v>0</v>
      </c>
      <c r="AK47" s="311">
        <f t="shared" si="65"/>
        <v>0</v>
      </c>
      <c r="AL47" s="311">
        <f t="shared" si="65"/>
        <v>0</v>
      </c>
      <c r="AM47" s="311">
        <f t="shared" si="65"/>
        <v>0</v>
      </c>
      <c r="AN47" s="311">
        <f t="shared" si="65"/>
        <v>0</v>
      </c>
      <c r="AO47" s="311">
        <f t="shared" si="65"/>
        <v>0</v>
      </c>
      <c r="AP47" s="311">
        <f t="shared" si="65"/>
        <v>0</v>
      </c>
      <c r="AQ47" s="311">
        <f t="shared" si="65"/>
        <v>0</v>
      </c>
      <c r="AR47" s="311">
        <f t="shared" si="65"/>
        <v>0</v>
      </c>
      <c r="AS47" s="311">
        <f t="shared" si="65"/>
        <v>0</v>
      </c>
    </row>
    <row r="48" spans="1:45">
      <c r="A48" s="836">
        <f t="shared" si="54"/>
        <v>10</v>
      </c>
      <c r="B48" s="837">
        <f t="shared" si="55"/>
        <v>0</v>
      </c>
      <c r="C48" s="1235"/>
      <c r="D48" s="1236"/>
      <c r="E48" s="1236"/>
      <c r="F48" s="1236"/>
      <c r="G48" s="1237"/>
      <c r="H48" s="311">
        <f t="shared" si="56"/>
        <v>0</v>
      </c>
      <c r="I48" s="1150">
        <f t="shared" si="57"/>
        <v>0</v>
      </c>
      <c r="J48" s="311">
        <f t="shared" ref="J48:AS48" si="66">+$B14/12*J14</f>
        <v>0</v>
      </c>
      <c r="K48" s="311">
        <f t="shared" si="66"/>
        <v>0</v>
      </c>
      <c r="L48" s="311">
        <f t="shared" si="66"/>
        <v>0</v>
      </c>
      <c r="M48" s="311">
        <f t="shared" si="66"/>
        <v>0</v>
      </c>
      <c r="N48" s="311">
        <f t="shared" si="66"/>
        <v>0</v>
      </c>
      <c r="O48" s="311">
        <f t="shared" si="66"/>
        <v>0</v>
      </c>
      <c r="P48" s="311">
        <f t="shared" si="66"/>
        <v>0</v>
      </c>
      <c r="Q48" s="311">
        <f t="shared" si="66"/>
        <v>0</v>
      </c>
      <c r="R48" s="311">
        <f t="shared" si="66"/>
        <v>0</v>
      </c>
      <c r="S48" s="311">
        <f t="shared" si="66"/>
        <v>0</v>
      </c>
      <c r="T48" s="311">
        <f t="shared" si="66"/>
        <v>0</v>
      </c>
      <c r="U48" s="311">
        <f t="shared" si="66"/>
        <v>0</v>
      </c>
      <c r="V48" s="311">
        <f t="shared" si="66"/>
        <v>0</v>
      </c>
      <c r="W48" s="311">
        <f t="shared" si="66"/>
        <v>0</v>
      </c>
      <c r="X48" s="311">
        <f t="shared" si="66"/>
        <v>0</v>
      </c>
      <c r="Y48" s="311">
        <f t="shared" si="66"/>
        <v>0</v>
      </c>
      <c r="Z48" s="311">
        <f t="shared" si="66"/>
        <v>0</v>
      </c>
      <c r="AA48" s="311">
        <f t="shared" si="66"/>
        <v>0</v>
      </c>
      <c r="AB48" s="311">
        <f t="shared" si="66"/>
        <v>0</v>
      </c>
      <c r="AC48" s="311">
        <f t="shared" si="66"/>
        <v>0</v>
      </c>
      <c r="AD48" s="311">
        <f t="shared" si="66"/>
        <v>0</v>
      </c>
      <c r="AE48" s="311">
        <f t="shared" si="66"/>
        <v>0</v>
      </c>
      <c r="AF48" s="311">
        <f t="shared" si="66"/>
        <v>0</v>
      </c>
      <c r="AG48" s="311">
        <f t="shared" si="66"/>
        <v>0</v>
      </c>
      <c r="AH48" s="311">
        <f t="shared" si="66"/>
        <v>0</v>
      </c>
      <c r="AI48" s="311">
        <f t="shared" si="66"/>
        <v>0</v>
      </c>
      <c r="AJ48" s="311">
        <f t="shared" si="66"/>
        <v>0</v>
      </c>
      <c r="AK48" s="311">
        <f t="shared" si="66"/>
        <v>0</v>
      </c>
      <c r="AL48" s="311">
        <f t="shared" si="66"/>
        <v>0</v>
      </c>
      <c r="AM48" s="311">
        <f t="shared" si="66"/>
        <v>0</v>
      </c>
      <c r="AN48" s="311">
        <f t="shared" si="66"/>
        <v>0</v>
      </c>
      <c r="AO48" s="311">
        <f t="shared" si="66"/>
        <v>0</v>
      </c>
      <c r="AP48" s="311">
        <f t="shared" si="66"/>
        <v>0</v>
      </c>
      <c r="AQ48" s="311">
        <f t="shared" si="66"/>
        <v>0</v>
      </c>
      <c r="AR48" s="311">
        <f t="shared" si="66"/>
        <v>0</v>
      </c>
      <c r="AS48" s="311">
        <f t="shared" si="66"/>
        <v>0</v>
      </c>
    </row>
    <row r="49" spans="1:45" outlineLevel="2">
      <c r="A49" s="836">
        <f t="shared" si="54"/>
        <v>11</v>
      </c>
      <c r="B49" s="837">
        <f t="shared" si="55"/>
        <v>0</v>
      </c>
      <c r="C49" s="1235"/>
      <c r="D49" s="1236"/>
      <c r="E49" s="1236"/>
      <c r="F49" s="1236"/>
      <c r="G49" s="1237"/>
      <c r="H49" s="311">
        <f t="shared" si="56"/>
        <v>0</v>
      </c>
      <c r="I49" s="1150">
        <f t="shared" si="57"/>
        <v>0</v>
      </c>
      <c r="J49" s="311">
        <f t="shared" ref="J49:AS49" si="67">+$B15/12*J15</f>
        <v>0</v>
      </c>
      <c r="K49" s="311">
        <f t="shared" si="67"/>
        <v>0</v>
      </c>
      <c r="L49" s="311">
        <f t="shared" si="67"/>
        <v>0</v>
      </c>
      <c r="M49" s="311">
        <f t="shared" si="67"/>
        <v>0</v>
      </c>
      <c r="N49" s="311">
        <f t="shared" si="67"/>
        <v>0</v>
      </c>
      <c r="O49" s="311">
        <f t="shared" si="67"/>
        <v>0</v>
      </c>
      <c r="P49" s="311">
        <f t="shared" si="67"/>
        <v>0</v>
      </c>
      <c r="Q49" s="311">
        <f t="shared" si="67"/>
        <v>0</v>
      </c>
      <c r="R49" s="311">
        <f t="shared" si="67"/>
        <v>0</v>
      </c>
      <c r="S49" s="311">
        <f t="shared" si="67"/>
        <v>0</v>
      </c>
      <c r="T49" s="311">
        <f t="shared" si="67"/>
        <v>0</v>
      </c>
      <c r="U49" s="311">
        <f t="shared" si="67"/>
        <v>0</v>
      </c>
      <c r="V49" s="311">
        <f t="shared" si="67"/>
        <v>0</v>
      </c>
      <c r="W49" s="311">
        <f t="shared" si="67"/>
        <v>0</v>
      </c>
      <c r="X49" s="311">
        <f t="shared" si="67"/>
        <v>0</v>
      </c>
      <c r="Y49" s="311">
        <f t="shared" si="67"/>
        <v>0</v>
      </c>
      <c r="Z49" s="311">
        <f t="shared" si="67"/>
        <v>0</v>
      </c>
      <c r="AA49" s="311">
        <f t="shared" si="67"/>
        <v>0</v>
      </c>
      <c r="AB49" s="311">
        <f t="shared" si="67"/>
        <v>0</v>
      </c>
      <c r="AC49" s="311">
        <f t="shared" si="67"/>
        <v>0</v>
      </c>
      <c r="AD49" s="311">
        <f t="shared" si="67"/>
        <v>0</v>
      </c>
      <c r="AE49" s="311">
        <f t="shared" si="67"/>
        <v>0</v>
      </c>
      <c r="AF49" s="311">
        <f t="shared" si="67"/>
        <v>0</v>
      </c>
      <c r="AG49" s="311">
        <f t="shared" si="67"/>
        <v>0</v>
      </c>
      <c r="AH49" s="311">
        <f t="shared" si="67"/>
        <v>0</v>
      </c>
      <c r="AI49" s="311">
        <f t="shared" si="67"/>
        <v>0</v>
      </c>
      <c r="AJ49" s="311">
        <f t="shared" si="67"/>
        <v>0</v>
      </c>
      <c r="AK49" s="311">
        <f t="shared" si="67"/>
        <v>0</v>
      </c>
      <c r="AL49" s="311">
        <f t="shared" si="67"/>
        <v>0</v>
      </c>
      <c r="AM49" s="311">
        <f t="shared" si="67"/>
        <v>0</v>
      </c>
      <c r="AN49" s="311">
        <f t="shared" si="67"/>
        <v>0</v>
      </c>
      <c r="AO49" s="311">
        <f t="shared" si="67"/>
        <v>0</v>
      </c>
      <c r="AP49" s="311">
        <f t="shared" si="67"/>
        <v>0</v>
      </c>
      <c r="AQ49" s="311">
        <f t="shared" si="67"/>
        <v>0</v>
      </c>
      <c r="AR49" s="311">
        <f t="shared" si="67"/>
        <v>0</v>
      </c>
      <c r="AS49" s="311">
        <f t="shared" si="67"/>
        <v>0</v>
      </c>
    </row>
    <row r="50" spans="1:45" outlineLevel="2">
      <c r="A50" s="836">
        <f t="shared" si="54"/>
        <v>12</v>
      </c>
      <c r="B50" s="837">
        <f t="shared" si="55"/>
        <v>0</v>
      </c>
      <c r="C50" s="1235"/>
      <c r="D50" s="1236"/>
      <c r="E50" s="1236"/>
      <c r="F50" s="1236"/>
      <c r="G50" s="1237"/>
      <c r="H50" s="311">
        <f t="shared" si="56"/>
        <v>0</v>
      </c>
      <c r="I50" s="1150">
        <f t="shared" si="57"/>
        <v>0</v>
      </c>
      <c r="J50" s="311">
        <f t="shared" ref="J50:AS50" si="68">+$B16/12*J16</f>
        <v>0</v>
      </c>
      <c r="K50" s="311">
        <f t="shared" si="68"/>
        <v>0</v>
      </c>
      <c r="L50" s="311">
        <f t="shared" si="68"/>
        <v>0</v>
      </c>
      <c r="M50" s="311">
        <f t="shared" si="68"/>
        <v>0</v>
      </c>
      <c r="N50" s="311">
        <f t="shared" si="68"/>
        <v>0</v>
      </c>
      <c r="O50" s="311">
        <f t="shared" si="68"/>
        <v>0</v>
      </c>
      <c r="P50" s="311">
        <f t="shared" si="68"/>
        <v>0</v>
      </c>
      <c r="Q50" s="311">
        <f t="shared" si="68"/>
        <v>0</v>
      </c>
      <c r="R50" s="311">
        <f t="shared" si="68"/>
        <v>0</v>
      </c>
      <c r="S50" s="311">
        <f t="shared" si="68"/>
        <v>0</v>
      </c>
      <c r="T50" s="311">
        <f t="shared" si="68"/>
        <v>0</v>
      </c>
      <c r="U50" s="311">
        <f t="shared" si="68"/>
        <v>0</v>
      </c>
      <c r="V50" s="311">
        <f t="shared" si="68"/>
        <v>0</v>
      </c>
      <c r="W50" s="311">
        <f t="shared" si="68"/>
        <v>0</v>
      </c>
      <c r="X50" s="311">
        <f t="shared" si="68"/>
        <v>0</v>
      </c>
      <c r="Y50" s="311">
        <f t="shared" si="68"/>
        <v>0</v>
      </c>
      <c r="Z50" s="311">
        <f t="shared" si="68"/>
        <v>0</v>
      </c>
      <c r="AA50" s="311">
        <f t="shared" si="68"/>
        <v>0</v>
      </c>
      <c r="AB50" s="311">
        <f t="shared" si="68"/>
        <v>0</v>
      </c>
      <c r="AC50" s="311">
        <f t="shared" si="68"/>
        <v>0</v>
      </c>
      <c r="AD50" s="311">
        <f t="shared" si="68"/>
        <v>0</v>
      </c>
      <c r="AE50" s="311">
        <f t="shared" si="68"/>
        <v>0</v>
      </c>
      <c r="AF50" s="311">
        <f t="shared" si="68"/>
        <v>0</v>
      </c>
      <c r="AG50" s="311">
        <f t="shared" si="68"/>
        <v>0</v>
      </c>
      <c r="AH50" s="311">
        <f t="shared" si="68"/>
        <v>0</v>
      </c>
      <c r="AI50" s="311">
        <f t="shared" si="68"/>
        <v>0</v>
      </c>
      <c r="AJ50" s="311">
        <f t="shared" si="68"/>
        <v>0</v>
      </c>
      <c r="AK50" s="311">
        <f t="shared" si="68"/>
        <v>0</v>
      </c>
      <c r="AL50" s="311">
        <f t="shared" si="68"/>
        <v>0</v>
      </c>
      <c r="AM50" s="311">
        <f t="shared" si="68"/>
        <v>0</v>
      </c>
      <c r="AN50" s="311">
        <f t="shared" si="68"/>
        <v>0</v>
      </c>
      <c r="AO50" s="311">
        <f t="shared" si="68"/>
        <v>0</v>
      </c>
      <c r="AP50" s="311">
        <f t="shared" si="68"/>
        <v>0</v>
      </c>
      <c r="AQ50" s="311">
        <f t="shared" si="68"/>
        <v>0</v>
      </c>
      <c r="AR50" s="311">
        <f t="shared" si="68"/>
        <v>0</v>
      </c>
      <c r="AS50" s="311">
        <f t="shared" si="68"/>
        <v>0</v>
      </c>
    </row>
    <row r="51" spans="1:45" outlineLevel="2">
      <c r="A51" s="836">
        <f t="shared" si="54"/>
        <v>13</v>
      </c>
      <c r="B51" s="837">
        <f t="shared" si="55"/>
        <v>0</v>
      </c>
      <c r="C51" s="1235"/>
      <c r="D51" s="1236"/>
      <c r="E51" s="1236"/>
      <c r="F51" s="1236"/>
      <c r="G51" s="1237"/>
      <c r="H51" s="311">
        <f t="shared" si="56"/>
        <v>0</v>
      </c>
      <c r="I51" s="1150">
        <f t="shared" si="57"/>
        <v>0</v>
      </c>
      <c r="J51" s="311">
        <f t="shared" ref="J51:AS51" si="69">+$B17/12*J17</f>
        <v>0</v>
      </c>
      <c r="K51" s="311">
        <f t="shared" si="69"/>
        <v>0</v>
      </c>
      <c r="L51" s="311">
        <f t="shared" si="69"/>
        <v>0</v>
      </c>
      <c r="M51" s="311">
        <f t="shared" si="69"/>
        <v>0</v>
      </c>
      <c r="N51" s="311">
        <f t="shared" si="69"/>
        <v>0</v>
      </c>
      <c r="O51" s="311">
        <f t="shared" si="69"/>
        <v>0</v>
      </c>
      <c r="P51" s="311">
        <f t="shared" si="69"/>
        <v>0</v>
      </c>
      <c r="Q51" s="311">
        <f t="shared" si="69"/>
        <v>0</v>
      </c>
      <c r="R51" s="311">
        <f t="shared" si="69"/>
        <v>0</v>
      </c>
      <c r="S51" s="311">
        <f t="shared" si="69"/>
        <v>0</v>
      </c>
      <c r="T51" s="311">
        <f t="shared" si="69"/>
        <v>0</v>
      </c>
      <c r="U51" s="311">
        <f t="shared" si="69"/>
        <v>0</v>
      </c>
      <c r="V51" s="311">
        <f t="shared" si="69"/>
        <v>0</v>
      </c>
      <c r="W51" s="311">
        <f t="shared" si="69"/>
        <v>0</v>
      </c>
      <c r="X51" s="311">
        <f t="shared" si="69"/>
        <v>0</v>
      </c>
      <c r="Y51" s="311">
        <f t="shared" si="69"/>
        <v>0</v>
      </c>
      <c r="Z51" s="311">
        <f t="shared" si="69"/>
        <v>0</v>
      </c>
      <c r="AA51" s="311">
        <f t="shared" si="69"/>
        <v>0</v>
      </c>
      <c r="AB51" s="311">
        <f t="shared" si="69"/>
        <v>0</v>
      </c>
      <c r="AC51" s="311">
        <f t="shared" si="69"/>
        <v>0</v>
      </c>
      <c r="AD51" s="311">
        <f t="shared" si="69"/>
        <v>0</v>
      </c>
      <c r="AE51" s="311">
        <f t="shared" si="69"/>
        <v>0</v>
      </c>
      <c r="AF51" s="311">
        <f t="shared" si="69"/>
        <v>0</v>
      </c>
      <c r="AG51" s="311">
        <f t="shared" si="69"/>
        <v>0</v>
      </c>
      <c r="AH51" s="311">
        <f t="shared" si="69"/>
        <v>0</v>
      </c>
      <c r="AI51" s="311">
        <f t="shared" si="69"/>
        <v>0</v>
      </c>
      <c r="AJ51" s="311">
        <f t="shared" si="69"/>
        <v>0</v>
      </c>
      <c r="AK51" s="311">
        <f t="shared" si="69"/>
        <v>0</v>
      </c>
      <c r="AL51" s="311">
        <f t="shared" si="69"/>
        <v>0</v>
      </c>
      <c r="AM51" s="311">
        <f t="shared" si="69"/>
        <v>0</v>
      </c>
      <c r="AN51" s="311">
        <f t="shared" si="69"/>
        <v>0</v>
      </c>
      <c r="AO51" s="311">
        <f t="shared" si="69"/>
        <v>0</v>
      </c>
      <c r="AP51" s="311">
        <f t="shared" si="69"/>
        <v>0</v>
      </c>
      <c r="AQ51" s="311">
        <f t="shared" si="69"/>
        <v>0</v>
      </c>
      <c r="AR51" s="311">
        <f t="shared" si="69"/>
        <v>0</v>
      </c>
      <c r="AS51" s="311">
        <f t="shared" si="69"/>
        <v>0</v>
      </c>
    </row>
    <row r="52" spans="1:45" outlineLevel="2">
      <c r="A52" s="836">
        <f t="shared" si="54"/>
        <v>14</v>
      </c>
      <c r="B52" s="837">
        <f t="shared" si="55"/>
        <v>0</v>
      </c>
      <c r="C52" s="1235"/>
      <c r="D52" s="1236"/>
      <c r="E52" s="1236"/>
      <c r="F52" s="1236"/>
      <c r="G52" s="1237"/>
      <c r="H52" s="311">
        <f t="shared" si="56"/>
        <v>0</v>
      </c>
      <c r="I52" s="1150">
        <f t="shared" si="57"/>
        <v>0</v>
      </c>
      <c r="J52" s="311">
        <f t="shared" ref="J52:AS52" si="70">+$B18/12*J18</f>
        <v>0</v>
      </c>
      <c r="K52" s="311">
        <f t="shared" si="70"/>
        <v>0</v>
      </c>
      <c r="L52" s="311">
        <f t="shared" si="70"/>
        <v>0</v>
      </c>
      <c r="M52" s="311">
        <f t="shared" si="70"/>
        <v>0</v>
      </c>
      <c r="N52" s="311">
        <f t="shared" si="70"/>
        <v>0</v>
      </c>
      <c r="O52" s="311">
        <f t="shared" si="70"/>
        <v>0</v>
      </c>
      <c r="P52" s="311">
        <f t="shared" si="70"/>
        <v>0</v>
      </c>
      <c r="Q52" s="311">
        <f t="shared" si="70"/>
        <v>0</v>
      </c>
      <c r="R52" s="311">
        <f t="shared" si="70"/>
        <v>0</v>
      </c>
      <c r="S52" s="311">
        <f t="shared" si="70"/>
        <v>0</v>
      </c>
      <c r="T52" s="311">
        <f t="shared" si="70"/>
        <v>0</v>
      </c>
      <c r="U52" s="311">
        <f t="shared" si="70"/>
        <v>0</v>
      </c>
      <c r="V52" s="311">
        <f t="shared" si="70"/>
        <v>0</v>
      </c>
      <c r="W52" s="311">
        <f t="shared" si="70"/>
        <v>0</v>
      </c>
      <c r="X52" s="311">
        <f t="shared" si="70"/>
        <v>0</v>
      </c>
      <c r="Y52" s="311">
        <f t="shared" si="70"/>
        <v>0</v>
      </c>
      <c r="Z52" s="311">
        <f t="shared" si="70"/>
        <v>0</v>
      </c>
      <c r="AA52" s="311">
        <f t="shared" si="70"/>
        <v>0</v>
      </c>
      <c r="AB52" s="311">
        <f t="shared" si="70"/>
        <v>0</v>
      </c>
      <c r="AC52" s="311">
        <f t="shared" si="70"/>
        <v>0</v>
      </c>
      <c r="AD52" s="311">
        <f t="shared" si="70"/>
        <v>0</v>
      </c>
      <c r="AE52" s="311">
        <f t="shared" si="70"/>
        <v>0</v>
      </c>
      <c r="AF52" s="311">
        <f t="shared" si="70"/>
        <v>0</v>
      </c>
      <c r="AG52" s="311">
        <f t="shared" si="70"/>
        <v>0</v>
      </c>
      <c r="AH52" s="311">
        <f t="shared" si="70"/>
        <v>0</v>
      </c>
      <c r="AI52" s="311">
        <f t="shared" si="70"/>
        <v>0</v>
      </c>
      <c r="AJ52" s="311">
        <f t="shared" si="70"/>
        <v>0</v>
      </c>
      <c r="AK52" s="311">
        <f t="shared" si="70"/>
        <v>0</v>
      </c>
      <c r="AL52" s="311">
        <f t="shared" si="70"/>
        <v>0</v>
      </c>
      <c r="AM52" s="311">
        <f t="shared" si="70"/>
        <v>0</v>
      </c>
      <c r="AN52" s="311">
        <f t="shared" si="70"/>
        <v>0</v>
      </c>
      <c r="AO52" s="311">
        <f t="shared" si="70"/>
        <v>0</v>
      </c>
      <c r="AP52" s="311">
        <f t="shared" si="70"/>
        <v>0</v>
      </c>
      <c r="AQ52" s="311">
        <f t="shared" si="70"/>
        <v>0</v>
      </c>
      <c r="AR52" s="311">
        <f t="shared" si="70"/>
        <v>0</v>
      </c>
      <c r="AS52" s="311">
        <f t="shared" si="70"/>
        <v>0</v>
      </c>
    </row>
    <row r="53" spans="1:45" outlineLevel="2">
      <c r="A53" s="836">
        <f t="shared" si="54"/>
        <v>15</v>
      </c>
      <c r="B53" s="837">
        <f t="shared" si="55"/>
        <v>0</v>
      </c>
      <c r="C53" s="1235"/>
      <c r="D53" s="1236"/>
      <c r="E53" s="1236"/>
      <c r="F53" s="1236"/>
      <c r="G53" s="1237"/>
      <c r="H53" s="311">
        <f t="shared" si="56"/>
        <v>0</v>
      </c>
      <c r="I53" s="1150">
        <f t="shared" si="57"/>
        <v>0</v>
      </c>
      <c r="J53" s="311">
        <f t="shared" ref="J53:AS53" si="71">+$B19/12*J19</f>
        <v>0</v>
      </c>
      <c r="K53" s="311">
        <f t="shared" si="71"/>
        <v>0</v>
      </c>
      <c r="L53" s="311">
        <f t="shared" si="71"/>
        <v>0</v>
      </c>
      <c r="M53" s="311">
        <f t="shared" si="71"/>
        <v>0</v>
      </c>
      <c r="N53" s="311">
        <f t="shared" si="71"/>
        <v>0</v>
      </c>
      <c r="O53" s="311">
        <f t="shared" si="71"/>
        <v>0</v>
      </c>
      <c r="P53" s="311">
        <f t="shared" si="71"/>
        <v>0</v>
      </c>
      <c r="Q53" s="311">
        <f t="shared" si="71"/>
        <v>0</v>
      </c>
      <c r="R53" s="311">
        <f t="shared" si="71"/>
        <v>0</v>
      </c>
      <c r="S53" s="311">
        <f t="shared" si="71"/>
        <v>0</v>
      </c>
      <c r="T53" s="311">
        <f t="shared" si="71"/>
        <v>0</v>
      </c>
      <c r="U53" s="311">
        <f t="shared" si="71"/>
        <v>0</v>
      </c>
      <c r="V53" s="311">
        <f t="shared" si="71"/>
        <v>0</v>
      </c>
      <c r="W53" s="311">
        <f t="shared" si="71"/>
        <v>0</v>
      </c>
      <c r="X53" s="311">
        <f t="shared" si="71"/>
        <v>0</v>
      </c>
      <c r="Y53" s="311">
        <f t="shared" si="71"/>
        <v>0</v>
      </c>
      <c r="Z53" s="311">
        <f t="shared" si="71"/>
        <v>0</v>
      </c>
      <c r="AA53" s="311">
        <f t="shared" si="71"/>
        <v>0</v>
      </c>
      <c r="AB53" s="311">
        <f t="shared" si="71"/>
        <v>0</v>
      </c>
      <c r="AC53" s="311">
        <f t="shared" si="71"/>
        <v>0</v>
      </c>
      <c r="AD53" s="311">
        <f t="shared" si="71"/>
        <v>0</v>
      </c>
      <c r="AE53" s="311">
        <f t="shared" si="71"/>
        <v>0</v>
      </c>
      <c r="AF53" s="311">
        <f t="shared" si="71"/>
        <v>0</v>
      </c>
      <c r="AG53" s="311">
        <f t="shared" si="71"/>
        <v>0</v>
      </c>
      <c r="AH53" s="311">
        <f t="shared" si="71"/>
        <v>0</v>
      </c>
      <c r="AI53" s="311">
        <f t="shared" si="71"/>
        <v>0</v>
      </c>
      <c r="AJ53" s="311">
        <f t="shared" si="71"/>
        <v>0</v>
      </c>
      <c r="AK53" s="311">
        <f t="shared" si="71"/>
        <v>0</v>
      </c>
      <c r="AL53" s="311">
        <f t="shared" si="71"/>
        <v>0</v>
      </c>
      <c r="AM53" s="311">
        <f t="shared" si="71"/>
        <v>0</v>
      </c>
      <c r="AN53" s="311">
        <f t="shared" si="71"/>
        <v>0</v>
      </c>
      <c r="AO53" s="311">
        <f t="shared" si="71"/>
        <v>0</v>
      </c>
      <c r="AP53" s="311">
        <f t="shared" si="71"/>
        <v>0</v>
      </c>
      <c r="AQ53" s="311">
        <f t="shared" si="71"/>
        <v>0</v>
      </c>
      <c r="AR53" s="311">
        <f t="shared" si="71"/>
        <v>0</v>
      </c>
      <c r="AS53" s="311">
        <f t="shared" si="71"/>
        <v>0</v>
      </c>
    </row>
    <row r="54" spans="1:45" outlineLevel="2">
      <c r="A54" s="836">
        <f t="shared" si="54"/>
        <v>16</v>
      </c>
      <c r="B54" s="837">
        <f t="shared" si="55"/>
        <v>0</v>
      </c>
      <c r="C54" s="1235"/>
      <c r="D54" s="1236"/>
      <c r="E54" s="1236"/>
      <c r="F54" s="1236"/>
      <c r="G54" s="1237"/>
      <c r="H54" s="311">
        <f t="shared" si="56"/>
        <v>0</v>
      </c>
      <c r="I54" s="1150">
        <f t="shared" si="57"/>
        <v>0</v>
      </c>
      <c r="J54" s="311">
        <f t="shared" ref="J54:AS54" si="72">+$B20/12*J20</f>
        <v>0</v>
      </c>
      <c r="K54" s="311">
        <f t="shared" si="72"/>
        <v>0</v>
      </c>
      <c r="L54" s="311">
        <f t="shared" si="72"/>
        <v>0</v>
      </c>
      <c r="M54" s="311">
        <f t="shared" si="72"/>
        <v>0</v>
      </c>
      <c r="N54" s="311">
        <f t="shared" si="72"/>
        <v>0</v>
      </c>
      <c r="O54" s="311">
        <f t="shared" si="72"/>
        <v>0</v>
      </c>
      <c r="P54" s="311">
        <f t="shared" si="72"/>
        <v>0</v>
      </c>
      <c r="Q54" s="311">
        <f t="shared" si="72"/>
        <v>0</v>
      </c>
      <c r="R54" s="311">
        <f t="shared" si="72"/>
        <v>0</v>
      </c>
      <c r="S54" s="311">
        <f t="shared" si="72"/>
        <v>0</v>
      </c>
      <c r="T54" s="311">
        <f t="shared" si="72"/>
        <v>0</v>
      </c>
      <c r="U54" s="311">
        <f t="shared" si="72"/>
        <v>0</v>
      </c>
      <c r="V54" s="311">
        <f t="shared" si="72"/>
        <v>0</v>
      </c>
      <c r="W54" s="311">
        <f t="shared" si="72"/>
        <v>0</v>
      </c>
      <c r="X54" s="311">
        <f t="shared" si="72"/>
        <v>0</v>
      </c>
      <c r="Y54" s="311">
        <f t="shared" si="72"/>
        <v>0</v>
      </c>
      <c r="Z54" s="311">
        <f t="shared" si="72"/>
        <v>0</v>
      </c>
      <c r="AA54" s="311">
        <f t="shared" si="72"/>
        <v>0</v>
      </c>
      <c r="AB54" s="311">
        <f t="shared" si="72"/>
        <v>0</v>
      </c>
      <c r="AC54" s="311">
        <f t="shared" si="72"/>
        <v>0</v>
      </c>
      <c r="AD54" s="311">
        <f t="shared" si="72"/>
        <v>0</v>
      </c>
      <c r="AE54" s="311">
        <f t="shared" si="72"/>
        <v>0</v>
      </c>
      <c r="AF54" s="311">
        <f t="shared" si="72"/>
        <v>0</v>
      </c>
      <c r="AG54" s="311">
        <f t="shared" si="72"/>
        <v>0</v>
      </c>
      <c r="AH54" s="311">
        <f t="shared" si="72"/>
        <v>0</v>
      </c>
      <c r="AI54" s="311">
        <f t="shared" si="72"/>
        <v>0</v>
      </c>
      <c r="AJ54" s="311">
        <f t="shared" si="72"/>
        <v>0</v>
      </c>
      <c r="AK54" s="311">
        <f t="shared" si="72"/>
        <v>0</v>
      </c>
      <c r="AL54" s="311">
        <f t="shared" si="72"/>
        <v>0</v>
      </c>
      <c r="AM54" s="311">
        <f t="shared" si="72"/>
        <v>0</v>
      </c>
      <c r="AN54" s="311">
        <f t="shared" si="72"/>
        <v>0</v>
      </c>
      <c r="AO54" s="311">
        <f t="shared" si="72"/>
        <v>0</v>
      </c>
      <c r="AP54" s="311">
        <f t="shared" si="72"/>
        <v>0</v>
      </c>
      <c r="AQ54" s="311">
        <f t="shared" si="72"/>
        <v>0</v>
      </c>
      <c r="AR54" s="311">
        <f t="shared" si="72"/>
        <v>0</v>
      </c>
      <c r="AS54" s="311">
        <f t="shared" si="72"/>
        <v>0</v>
      </c>
    </row>
    <row r="55" spans="1:45" outlineLevel="2">
      <c r="A55" s="836">
        <f t="shared" si="54"/>
        <v>17</v>
      </c>
      <c r="B55" s="837">
        <f t="shared" si="55"/>
        <v>0</v>
      </c>
      <c r="C55" s="1235"/>
      <c r="D55" s="1236"/>
      <c r="E55" s="1236"/>
      <c r="F55" s="1236"/>
      <c r="G55" s="1237"/>
      <c r="H55" s="311">
        <f t="shared" si="56"/>
        <v>0</v>
      </c>
      <c r="I55" s="1150">
        <f t="shared" si="57"/>
        <v>0</v>
      </c>
      <c r="J55" s="311">
        <f t="shared" ref="J55:AS55" si="73">+$B21/12*J21</f>
        <v>0</v>
      </c>
      <c r="K55" s="311">
        <f t="shared" si="73"/>
        <v>0</v>
      </c>
      <c r="L55" s="311">
        <f t="shared" si="73"/>
        <v>0</v>
      </c>
      <c r="M55" s="311">
        <f t="shared" si="73"/>
        <v>0</v>
      </c>
      <c r="N55" s="311">
        <f t="shared" si="73"/>
        <v>0</v>
      </c>
      <c r="O55" s="311">
        <f t="shared" si="73"/>
        <v>0</v>
      </c>
      <c r="P55" s="311">
        <f t="shared" si="73"/>
        <v>0</v>
      </c>
      <c r="Q55" s="311">
        <f t="shared" si="73"/>
        <v>0</v>
      </c>
      <c r="R55" s="311">
        <f t="shared" si="73"/>
        <v>0</v>
      </c>
      <c r="S55" s="311">
        <f t="shared" si="73"/>
        <v>0</v>
      </c>
      <c r="T55" s="311">
        <f t="shared" si="73"/>
        <v>0</v>
      </c>
      <c r="U55" s="311">
        <f t="shared" si="73"/>
        <v>0</v>
      </c>
      <c r="V55" s="311">
        <f t="shared" si="73"/>
        <v>0</v>
      </c>
      <c r="W55" s="311">
        <f t="shared" si="73"/>
        <v>0</v>
      </c>
      <c r="X55" s="311">
        <f t="shared" si="73"/>
        <v>0</v>
      </c>
      <c r="Y55" s="311">
        <f t="shared" si="73"/>
        <v>0</v>
      </c>
      <c r="Z55" s="311">
        <f t="shared" si="73"/>
        <v>0</v>
      </c>
      <c r="AA55" s="311">
        <f t="shared" si="73"/>
        <v>0</v>
      </c>
      <c r="AB55" s="311">
        <f t="shared" si="73"/>
        <v>0</v>
      </c>
      <c r="AC55" s="311">
        <f t="shared" si="73"/>
        <v>0</v>
      </c>
      <c r="AD55" s="311">
        <f t="shared" si="73"/>
        <v>0</v>
      </c>
      <c r="AE55" s="311">
        <f t="shared" si="73"/>
        <v>0</v>
      </c>
      <c r="AF55" s="311">
        <f t="shared" si="73"/>
        <v>0</v>
      </c>
      <c r="AG55" s="311">
        <f t="shared" si="73"/>
        <v>0</v>
      </c>
      <c r="AH55" s="311">
        <f t="shared" si="73"/>
        <v>0</v>
      </c>
      <c r="AI55" s="311">
        <f t="shared" si="73"/>
        <v>0</v>
      </c>
      <c r="AJ55" s="311">
        <f t="shared" si="73"/>
        <v>0</v>
      </c>
      <c r="AK55" s="311">
        <f t="shared" si="73"/>
        <v>0</v>
      </c>
      <c r="AL55" s="311">
        <f t="shared" si="73"/>
        <v>0</v>
      </c>
      <c r="AM55" s="311">
        <f t="shared" si="73"/>
        <v>0</v>
      </c>
      <c r="AN55" s="311">
        <f t="shared" si="73"/>
        <v>0</v>
      </c>
      <c r="AO55" s="311">
        <f t="shared" si="73"/>
        <v>0</v>
      </c>
      <c r="AP55" s="311">
        <f t="shared" si="73"/>
        <v>0</v>
      </c>
      <c r="AQ55" s="311">
        <f t="shared" si="73"/>
        <v>0</v>
      </c>
      <c r="AR55" s="311">
        <f t="shared" si="73"/>
        <v>0</v>
      </c>
      <c r="AS55" s="311">
        <f t="shared" si="73"/>
        <v>0</v>
      </c>
    </row>
    <row r="56" spans="1:45" outlineLevel="2">
      <c r="A56" s="836">
        <f t="shared" si="54"/>
        <v>18</v>
      </c>
      <c r="B56" s="837">
        <f t="shared" si="55"/>
        <v>0</v>
      </c>
      <c r="C56" s="1235"/>
      <c r="D56" s="1236"/>
      <c r="E56" s="1236"/>
      <c r="F56" s="1236"/>
      <c r="G56" s="1237"/>
      <c r="H56" s="311">
        <f t="shared" si="56"/>
        <v>0</v>
      </c>
      <c r="I56" s="1150">
        <f t="shared" si="57"/>
        <v>0</v>
      </c>
      <c r="J56" s="311">
        <f t="shared" ref="J56:AS56" si="74">+$B22/12*J22</f>
        <v>0</v>
      </c>
      <c r="K56" s="311">
        <f t="shared" si="74"/>
        <v>0</v>
      </c>
      <c r="L56" s="311">
        <f t="shared" si="74"/>
        <v>0</v>
      </c>
      <c r="M56" s="311">
        <f t="shared" si="74"/>
        <v>0</v>
      </c>
      <c r="N56" s="311">
        <f t="shared" si="74"/>
        <v>0</v>
      </c>
      <c r="O56" s="311">
        <f t="shared" si="74"/>
        <v>0</v>
      </c>
      <c r="P56" s="311">
        <f t="shared" si="74"/>
        <v>0</v>
      </c>
      <c r="Q56" s="311">
        <f t="shared" si="74"/>
        <v>0</v>
      </c>
      <c r="R56" s="311">
        <f t="shared" si="74"/>
        <v>0</v>
      </c>
      <c r="S56" s="311">
        <f t="shared" si="74"/>
        <v>0</v>
      </c>
      <c r="T56" s="311">
        <f t="shared" si="74"/>
        <v>0</v>
      </c>
      <c r="U56" s="311">
        <f t="shared" si="74"/>
        <v>0</v>
      </c>
      <c r="V56" s="311">
        <f t="shared" si="74"/>
        <v>0</v>
      </c>
      <c r="W56" s="311">
        <f t="shared" si="74"/>
        <v>0</v>
      </c>
      <c r="X56" s="311">
        <f t="shared" si="74"/>
        <v>0</v>
      </c>
      <c r="Y56" s="311">
        <f t="shared" si="74"/>
        <v>0</v>
      </c>
      <c r="Z56" s="311">
        <f t="shared" si="74"/>
        <v>0</v>
      </c>
      <c r="AA56" s="311">
        <f t="shared" si="74"/>
        <v>0</v>
      </c>
      <c r="AB56" s="311">
        <f t="shared" si="74"/>
        <v>0</v>
      </c>
      <c r="AC56" s="311">
        <f t="shared" si="74"/>
        <v>0</v>
      </c>
      <c r="AD56" s="311">
        <f t="shared" si="74"/>
        <v>0</v>
      </c>
      <c r="AE56" s="311">
        <f t="shared" si="74"/>
        <v>0</v>
      </c>
      <c r="AF56" s="311">
        <f t="shared" si="74"/>
        <v>0</v>
      </c>
      <c r="AG56" s="311">
        <f t="shared" si="74"/>
        <v>0</v>
      </c>
      <c r="AH56" s="311">
        <f t="shared" si="74"/>
        <v>0</v>
      </c>
      <c r="AI56" s="311">
        <f t="shared" si="74"/>
        <v>0</v>
      </c>
      <c r="AJ56" s="311">
        <f t="shared" si="74"/>
        <v>0</v>
      </c>
      <c r="AK56" s="311">
        <f t="shared" si="74"/>
        <v>0</v>
      </c>
      <c r="AL56" s="311">
        <f t="shared" si="74"/>
        <v>0</v>
      </c>
      <c r="AM56" s="311">
        <f t="shared" si="74"/>
        <v>0</v>
      </c>
      <c r="AN56" s="311">
        <f t="shared" si="74"/>
        <v>0</v>
      </c>
      <c r="AO56" s="311">
        <f t="shared" si="74"/>
        <v>0</v>
      </c>
      <c r="AP56" s="311">
        <f t="shared" si="74"/>
        <v>0</v>
      </c>
      <c r="AQ56" s="311">
        <f t="shared" si="74"/>
        <v>0</v>
      </c>
      <c r="AR56" s="311">
        <f t="shared" si="74"/>
        <v>0</v>
      </c>
      <c r="AS56" s="311">
        <f t="shared" si="74"/>
        <v>0</v>
      </c>
    </row>
    <row r="57" spans="1:45" outlineLevel="2">
      <c r="A57" s="836">
        <f t="shared" si="54"/>
        <v>19</v>
      </c>
      <c r="B57" s="837">
        <f t="shared" si="55"/>
        <v>0</v>
      </c>
      <c r="C57" s="1235"/>
      <c r="D57" s="1236"/>
      <c r="E57" s="1236"/>
      <c r="F57" s="1236"/>
      <c r="G57" s="1237"/>
      <c r="H57" s="311">
        <f t="shared" si="56"/>
        <v>0</v>
      </c>
      <c r="I57" s="1150">
        <f t="shared" si="57"/>
        <v>0</v>
      </c>
      <c r="J57" s="311">
        <f t="shared" ref="J57:AS57" si="75">+$B23/12*J23</f>
        <v>0</v>
      </c>
      <c r="K57" s="311">
        <f t="shared" si="75"/>
        <v>0</v>
      </c>
      <c r="L57" s="311">
        <f t="shared" si="75"/>
        <v>0</v>
      </c>
      <c r="M57" s="311">
        <f t="shared" si="75"/>
        <v>0</v>
      </c>
      <c r="N57" s="311">
        <f t="shared" si="75"/>
        <v>0</v>
      </c>
      <c r="O57" s="311">
        <f t="shared" si="75"/>
        <v>0</v>
      </c>
      <c r="P57" s="311">
        <f t="shared" si="75"/>
        <v>0</v>
      </c>
      <c r="Q57" s="311">
        <f t="shared" si="75"/>
        <v>0</v>
      </c>
      <c r="R57" s="311">
        <f t="shared" si="75"/>
        <v>0</v>
      </c>
      <c r="S57" s="311">
        <f t="shared" si="75"/>
        <v>0</v>
      </c>
      <c r="T57" s="311">
        <f t="shared" si="75"/>
        <v>0</v>
      </c>
      <c r="U57" s="311">
        <f t="shared" si="75"/>
        <v>0</v>
      </c>
      <c r="V57" s="311">
        <f t="shared" si="75"/>
        <v>0</v>
      </c>
      <c r="W57" s="311">
        <f t="shared" si="75"/>
        <v>0</v>
      </c>
      <c r="X57" s="311">
        <f t="shared" si="75"/>
        <v>0</v>
      </c>
      <c r="Y57" s="311">
        <f t="shared" si="75"/>
        <v>0</v>
      </c>
      <c r="Z57" s="311">
        <f t="shared" si="75"/>
        <v>0</v>
      </c>
      <c r="AA57" s="311">
        <f t="shared" si="75"/>
        <v>0</v>
      </c>
      <c r="AB57" s="311">
        <f t="shared" si="75"/>
        <v>0</v>
      </c>
      <c r="AC57" s="311">
        <f t="shared" si="75"/>
        <v>0</v>
      </c>
      <c r="AD57" s="311">
        <f t="shared" si="75"/>
        <v>0</v>
      </c>
      <c r="AE57" s="311">
        <f t="shared" si="75"/>
        <v>0</v>
      </c>
      <c r="AF57" s="311">
        <f t="shared" si="75"/>
        <v>0</v>
      </c>
      <c r="AG57" s="311">
        <f t="shared" si="75"/>
        <v>0</v>
      </c>
      <c r="AH57" s="311">
        <f t="shared" si="75"/>
        <v>0</v>
      </c>
      <c r="AI57" s="311">
        <f t="shared" si="75"/>
        <v>0</v>
      </c>
      <c r="AJ57" s="311">
        <f t="shared" si="75"/>
        <v>0</v>
      </c>
      <c r="AK57" s="311">
        <f t="shared" si="75"/>
        <v>0</v>
      </c>
      <c r="AL57" s="311">
        <f t="shared" si="75"/>
        <v>0</v>
      </c>
      <c r="AM57" s="311">
        <f t="shared" si="75"/>
        <v>0</v>
      </c>
      <c r="AN57" s="311">
        <f t="shared" si="75"/>
        <v>0</v>
      </c>
      <c r="AO57" s="311">
        <f t="shared" si="75"/>
        <v>0</v>
      </c>
      <c r="AP57" s="311">
        <f t="shared" si="75"/>
        <v>0</v>
      </c>
      <c r="AQ57" s="311">
        <f t="shared" si="75"/>
        <v>0</v>
      </c>
      <c r="AR57" s="311">
        <f t="shared" si="75"/>
        <v>0</v>
      </c>
      <c r="AS57" s="311">
        <f t="shared" si="75"/>
        <v>0</v>
      </c>
    </row>
    <row r="58" spans="1:45" outlineLevel="2">
      <c r="A58" s="836">
        <f t="shared" si="54"/>
        <v>20</v>
      </c>
      <c r="B58" s="837">
        <f t="shared" si="55"/>
        <v>0</v>
      </c>
      <c r="C58" s="1235"/>
      <c r="D58" s="1236"/>
      <c r="E58" s="1236"/>
      <c r="F58" s="1236"/>
      <c r="G58" s="1237"/>
      <c r="H58" s="311">
        <f t="shared" si="56"/>
        <v>0</v>
      </c>
      <c r="I58" s="1150">
        <f t="shared" si="57"/>
        <v>0</v>
      </c>
      <c r="J58" s="311">
        <f t="shared" ref="J58:AS58" si="76">+$B24/12*J24</f>
        <v>0</v>
      </c>
      <c r="K58" s="311">
        <f t="shared" si="76"/>
        <v>0</v>
      </c>
      <c r="L58" s="311">
        <f t="shared" si="76"/>
        <v>0</v>
      </c>
      <c r="M58" s="311">
        <f t="shared" si="76"/>
        <v>0</v>
      </c>
      <c r="N58" s="311">
        <f t="shared" si="76"/>
        <v>0</v>
      </c>
      <c r="O58" s="311">
        <f t="shared" si="76"/>
        <v>0</v>
      </c>
      <c r="P58" s="311">
        <f t="shared" si="76"/>
        <v>0</v>
      </c>
      <c r="Q58" s="311">
        <f t="shared" si="76"/>
        <v>0</v>
      </c>
      <c r="R58" s="311">
        <f t="shared" si="76"/>
        <v>0</v>
      </c>
      <c r="S58" s="311">
        <f t="shared" si="76"/>
        <v>0</v>
      </c>
      <c r="T58" s="311">
        <f t="shared" si="76"/>
        <v>0</v>
      </c>
      <c r="U58" s="311">
        <f t="shared" si="76"/>
        <v>0</v>
      </c>
      <c r="V58" s="311">
        <f t="shared" si="76"/>
        <v>0</v>
      </c>
      <c r="W58" s="311">
        <f t="shared" si="76"/>
        <v>0</v>
      </c>
      <c r="X58" s="311">
        <f t="shared" si="76"/>
        <v>0</v>
      </c>
      <c r="Y58" s="311">
        <f t="shared" si="76"/>
        <v>0</v>
      </c>
      <c r="Z58" s="311">
        <f t="shared" si="76"/>
        <v>0</v>
      </c>
      <c r="AA58" s="311">
        <f t="shared" si="76"/>
        <v>0</v>
      </c>
      <c r="AB58" s="311">
        <f t="shared" si="76"/>
        <v>0</v>
      </c>
      <c r="AC58" s="311">
        <f t="shared" si="76"/>
        <v>0</v>
      </c>
      <c r="AD58" s="311">
        <f t="shared" si="76"/>
        <v>0</v>
      </c>
      <c r="AE58" s="311">
        <f t="shared" si="76"/>
        <v>0</v>
      </c>
      <c r="AF58" s="311">
        <f t="shared" si="76"/>
        <v>0</v>
      </c>
      <c r="AG58" s="311">
        <f t="shared" si="76"/>
        <v>0</v>
      </c>
      <c r="AH58" s="311">
        <f t="shared" si="76"/>
        <v>0</v>
      </c>
      <c r="AI58" s="311">
        <f t="shared" si="76"/>
        <v>0</v>
      </c>
      <c r="AJ58" s="311">
        <f t="shared" si="76"/>
        <v>0</v>
      </c>
      <c r="AK58" s="311">
        <f t="shared" si="76"/>
        <v>0</v>
      </c>
      <c r="AL58" s="311">
        <f t="shared" si="76"/>
        <v>0</v>
      </c>
      <c r="AM58" s="311">
        <f t="shared" si="76"/>
        <v>0</v>
      </c>
      <c r="AN58" s="311">
        <f t="shared" si="76"/>
        <v>0</v>
      </c>
      <c r="AO58" s="311">
        <f t="shared" si="76"/>
        <v>0</v>
      </c>
      <c r="AP58" s="311">
        <f t="shared" si="76"/>
        <v>0</v>
      </c>
      <c r="AQ58" s="311">
        <f t="shared" si="76"/>
        <v>0</v>
      </c>
      <c r="AR58" s="311">
        <f t="shared" si="76"/>
        <v>0</v>
      </c>
      <c r="AS58" s="311">
        <f t="shared" si="76"/>
        <v>0</v>
      </c>
    </row>
    <row r="59" spans="1:45" outlineLevel="2">
      <c r="A59" s="836">
        <f t="shared" si="54"/>
        <v>21</v>
      </c>
      <c r="B59" s="837">
        <f t="shared" si="55"/>
        <v>0</v>
      </c>
      <c r="C59" s="1235"/>
      <c r="D59" s="1236"/>
      <c r="E59" s="1236"/>
      <c r="F59" s="1236"/>
      <c r="G59" s="1237"/>
      <c r="H59" s="311">
        <f t="shared" si="56"/>
        <v>0</v>
      </c>
      <c r="I59" s="1150">
        <f t="shared" si="57"/>
        <v>0</v>
      </c>
      <c r="J59" s="311">
        <f t="shared" ref="J59:AS59" si="77">+$B25/12*J25</f>
        <v>0</v>
      </c>
      <c r="K59" s="311">
        <f t="shared" si="77"/>
        <v>0</v>
      </c>
      <c r="L59" s="311">
        <f t="shared" si="77"/>
        <v>0</v>
      </c>
      <c r="M59" s="311">
        <f t="shared" si="77"/>
        <v>0</v>
      </c>
      <c r="N59" s="311">
        <f t="shared" si="77"/>
        <v>0</v>
      </c>
      <c r="O59" s="311">
        <f t="shared" si="77"/>
        <v>0</v>
      </c>
      <c r="P59" s="311">
        <f t="shared" si="77"/>
        <v>0</v>
      </c>
      <c r="Q59" s="311">
        <f t="shared" si="77"/>
        <v>0</v>
      </c>
      <c r="R59" s="311">
        <f t="shared" si="77"/>
        <v>0</v>
      </c>
      <c r="S59" s="311">
        <f t="shared" si="77"/>
        <v>0</v>
      </c>
      <c r="T59" s="311">
        <f t="shared" si="77"/>
        <v>0</v>
      </c>
      <c r="U59" s="311">
        <f t="shared" si="77"/>
        <v>0</v>
      </c>
      <c r="V59" s="311">
        <f t="shared" si="77"/>
        <v>0</v>
      </c>
      <c r="W59" s="311">
        <f t="shared" si="77"/>
        <v>0</v>
      </c>
      <c r="X59" s="311">
        <f t="shared" si="77"/>
        <v>0</v>
      </c>
      <c r="Y59" s="311">
        <f t="shared" si="77"/>
        <v>0</v>
      </c>
      <c r="Z59" s="311">
        <f t="shared" si="77"/>
        <v>0</v>
      </c>
      <c r="AA59" s="311">
        <f t="shared" si="77"/>
        <v>0</v>
      </c>
      <c r="AB59" s="311">
        <f t="shared" si="77"/>
        <v>0</v>
      </c>
      <c r="AC59" s="311">
        <f t="shared" si="77"/>
        <v>0</v>
      </c>
      <c r="AD59" s="311">
        <f t="shared" si="77"/>
        <v>0</v>
      </c>
      <c r="AE59" s="311">
        <f t="shared" si="77"/>
        <v>0</v>
      </c>
      <c r="AF59" s="311">
        <f t="shared" si="77"/>
        <v>0</v>
      </c>
      <c r="AG59" s="311">
        <f t="shared" si="77"/>
        <v>0</v>
      </c>
      <c r="AH59" s="311">
        <f t="shared" si="77"/>
        <v>0</v>
      </c>
      <c r="AI59" s="311">
        <f t="shared" si="77"/>
        <v>0</v>
      </c>
      <c r="AJ59" s="311">
        <f t="shared" si="77"/>
        <v>0</v>
      </c>
      <c r="AK59" s="311">
        <f t="shared" si="77"/>
        <v>0</v>
      </c>
      <c r="AL59" s="311">
        <f t="shared" si="77"/>
        <v>0</v>
      </c>
      <c r="AM59" s="311">
        <f t="shared" si="77"/>
        <v>0</v>
      </c>
      <c r="AN59" s="311">
        <f t="shared" si="77"/>
        <v>0</v>
      </c>
      <c r="AO59" s="311">
        <f t="shared" si="77"/>
        <v>0</v>
      </c>
      <c r="AP59" s="311">
        <f t="shared" si="77"/>
        <v>0</v>
      </c>
      <c r="AQ59" s="311">
        <f t="shared" si="77"/>
        <v>0</v>
      </c>
      <c r="AR59" s="311">
        <f t="shared" si="77"/>
        <v>0</v>
      </c>
      <c r="AS59" s="311">
        <f t="shared" si="77"/>
        <v>0</v>
      </c>
    </row>
    <row r="60" spans="1:45" outlineLevel="2">
      <c r="A60" s="836">
        <f t="shared" si="54"/>
        <v>22</v>
      </c>
      <c r="B60" s="837">
        <f t="shared" si="55"/>
        <v>0</v>
      </c>
      <c r="C60" s="1235"/>
      <c r="D60" s="1236"/>
      <c r="E60" s="1236"/>
      <c r="F60" s="1236"/>
      <c r="G60" s="1237"/>
      <c r="H60" s="311">
        <f t="shared" si="56"/>
        <v>0</v>
      </c>
      <c r="I60" s="1150">
        <f t="shared" si="57"/>
        <v>0</v>
      </c>
      <c r="J60" s="311">
        <f t="shared" ref="J60:AS60" si="78">+$B26/12*J26</f>
        <v>0</v>
      </c>
      <c r="K60" s="311">
        <f t="shared" si="78"/>
        <v>0</v>
      </c>
      <c r="L60" s="311">
        <f t="shared" si="78"/>
        <v>0</v>
      </c>
      <c r="M60" s="311">
        <f t="shared" si="78"/>
        <v>0</v>
      </c>
      <c r="N60" s="311">
        <f t="shared" si="78"/>
        <v>0</v>
      </c>
      <c r="O60" s="311">
        <f t="shared" si="78"/>
        <v>0</v>
      </c>
      <c r="P60" s="311">
        <f t="shared" si="78"/>
        <v>0</v>
      </c>
      <c r="Q60" s="311">
        <f t="shared" si="78"/>
        <v>0</v>
      </c>
      <c r="R60" s="311">
        <f t="shared" si="78"/>
        <v>0</v>
      </c>
      <c r="S60" s="311">
        <f t="shared" si="78"/>
        <v>0</v>
      </c>
      <c r="T60" s="311">
        <f t="shared" si="78"/>
        <v>0</v>
      </c>
      <c r="U60" s="311">
        <f t="shared" si="78"/>
        <v>0</v>
      </c>
      <c r="V60" s="311">
        <f t="shared" si="78"/>
        <v>0</v>
      </c>
      <c r="W60" s="311">
        <f t="shared" si="78"/>
        <v>0</v>
      </c>
      <c r="X60" s="311">
        <f t="shared" si="78"/>
        <v>0</v>
      </c>
      <c r="Y60" s="311">
        <f t="shared" si="78"/>
        <v>0</v>
      </c>
      <c r="Z60" s="311">
        <f t="shared" si="78"/>
        <v>0</v>
      </c>
      <c r="AA60" s="311">
        <f t="shared" si="78"/>
        <v>0</v>
      </c>
      <c r="AB60" s="311">
        <f t="shared" si="78"/>
        <v>0</v>
      </c>
      <c r="AC60" s="311">
        <f t="shared" si="78"/>
        <v>0</v>
      </c>
      <c r="AD60" s="311">
        <f t="shared" si="78"/>
        <v>0</v>
      </c>
      <c r="AE60" s="311">
        <f t="shared" si="78"/>
        <v>0</v>
      </c>
      <c r="AF60" s="311">
        <f t="shared" si="78"/>
        <v>0</v>
      </c>
      <c r="AG60" s="311">
        <f t="shared" si="78"/>
        <v>0</v>
      </c>
      <c r="AH60" s="311">
        <f t="shared" si="78"/>
        <v>0</v>
      </c>
      <c r="AI60" s="311">
        <f t="shared" si="78"/>
        <v>0</v>
      </c>
      <c r="AJ60" s="311">
        <f t="shared" si="78"/>
        <v>0</v>
      </c>
      <c r="AK60" s="311">
        <f t="shared" si="78"/>
        <v>0</v>
      </c>
      <c r="AL60" s="311">
        <f t="shared" si="78"/>
        <v>0</v>
      </c>
      <c r="AM60" s="311">
        <f t="shared" si="78"/>
        <v>0</v>
      </c>
      <c r="AN60" s="311">
        <f t="shared" si="78"/>
        <v>0</v>
      </c>
      <c r="AO60" s="311">
        <f t="shared" si="78"/>
        <v>0</v>
      </c>
      <c r="AP60" s="311">
        <f t="shared" si="78"/>
        <v>0</v>
      </c>
      <c r="AQ60" s="311">
        <f t="shared" si="78"/>
        <v>0</v>
      </c>
      <c r="AR60" s="311">
        <f t="shared" si="78"/>
        <v>0</v>
      </c>
      <c r="AS60" s="311">
        <f t="shared" si="78"/>
        <v>0</v>
      </c>
    </row>
    <row r="61" spans="1:45" outlineLevel="2">
      <c r="A61" s="836">
        <f t="shared" si="54"/>
        <v>23</v>
      </c>
      <c r="B61" s="837">
        <f t="shared" si="55"/>
        <v>0</v>
      </c>
      <c r="C61" s="1235"/>
      <c r="D61" s="1236"/>
      <c r="E61" s="1236"/>
      <c r="F61" s="1236"/>
      <c r="G61" s="1237"/>
      <c r="H61" s="311">
        <f t="shared" si="56"/>
        <v>0</v>
      </c>
      <c r="I61" s="1150">
        <f t="shared" si="57"/>
        <v>0</v>
      </c>
      <c r="J61" s="311">
        <f t="shared" ref="J61:AS61" si="79">+$B27/12*J27</f>
        <v>0</v>
      </c>
      <c r="K61" s="311">
        <f t="shared" si="79"/>
        <v>0</v>
      </c>
      <c r="L61" s="311">
        <f t="shared" si="79"/>
        <v>0</v>
      </c>
      <c r="M61" s="311">
        <f t="shared" si="79"/>
        <v>0</v>
      </c>
      <c r="N61" s="311">
        <f t="shared" si="79"/>
        <v>0</v>
      </c>
      <c r="O61" s="311">
        <f t="shared" si="79"/>
        <v>0</v>
      </c>
      <c r="P61" s="311">
        <f t="shared" si="79"/>
        <v>0</v>
      </c>
      <c r="Q61" s="311">
        <f t="shared" si="79"/>
        <v>0</v>
      </c>
      <c r="R61" s="311">
        <f t="shared" si="79"/>
        <v>0</v>
      </c>
      <c r="S61" s="311">
        <f t="shared" si="79"/>
        <v>0</v>
      </c>
      <c r="T61" s="311">
        <f t="shared" si="79"/>
        <v>0</v>
      </c>
      <c r="U61" s="311">
        <f t="shared" si="79"/>
        <v>0</v>
      </c>
      <c r="V61" s="311">
        <f t="shared" si="79"/>
        <v>0</v>
      </c>
      <c r="W61" s="311">
        <f t="shared" si="79"/>
        <v>0</v>
      </c>
      <c r="X61" s="311">
        <f t="shared" si="79"/>
        <v>0</v>
      </c>
      <c r="Y61" s="311">
        <f t="shared" si="79"/>
        <v>0</v>
      </c>
      <c r="Z61" s="311">
        <f t="shared" si="79"/>
        <v>0</v>
      </c>
      <c r="AA61" s="311">
        <f t="shared" si="79"/>
        <v>0</v>
      </c>
      <c r="AB61" s="311">
        <f t="shared" si="79"/>
        <v>0</v>
      </c>
      <c r="AC61" s="311">
        <f t="shared" si="79"/>
        <v>0</v>
      </c>
      <c r="AD61" s="311">
        <f t="shared" si="79"/>
        <v>0</v>
      </c>
      <c r="AE61" s="311">
        <f t="shared" si="79"/>
        <v>0</v>
      </c>
      <c r="AF61" s="311">
        <f t="shared" si="79"/>
        <v>0</v>
      </c>
      <c r="AG61" s="311">
        <f t="shared" si="79"/>
        <v>0</v>
      </c>
      <c r="AH61" s="311">
        <f t="shared" si="79"/>
        <v>0</v>
      </c>
      <c r="AI61" s="311">
        <f t="shared" si="79"/>
        <v>0</v>
      </c>
      <c r="AJ61" s="311">
        <f t="shared" si="79"/>
        <v>0</v>
      </c>
      <c r="AK61" s="311">
        <f t="shared" si="79"/>
        <v>0</v>
      </c>
      <c r="AL61" s="311">
        <f t="shared" si="79"/>
        <v>0</v>
      </c>
      <c r="AM61" s="311">
        <f t="shared" si="79"/>
        <v>0</v>
      </c>
      <c r="AN61" s="311">
        <f t="shared" si="79"/>
        <v>0</v>
      </c>
      <c r="AO61" s="311">
        <f t="shared" si="79"/>
        <v>0</v>
      </c>
      <c r="AP61" s="311">
        <f t="shared" si="79"/>
        <v>0</v>
      </c>
      <c r="AQ61" s="311">
        <f t="shared" si="79"/>
        <v>0</v>
      </c>
      <c r="AR61" s="311">
        <f t="shared" si="79"/>
        <v>0</v>
      </c>
      <c r="AS61" s="311">
        <f t="shared" si="79"/>
        <v>0</v>
      </c>
    </row>
    <row r="62" spans="1:45" outlineLevel="2">
      <c r="A62" s="836">
        <f t="shared" si="54"/>
        <v>24</v>
      </c>
      <c r="B62" s="837">
        <f t="shared" si="55"/>
        <v>0</v>
      </c>
      <c r="C62" s="1235"/>
      <c r="D62" s="1236"/>
      <c r="E62" s="1236"/>
      <c r="F62" s="1236"/>
      <c r="G62" s="1237"/>
      <c r="H62" s="311">
        <f t="shared" si="56"/>
        <v>0</v>
      </c>
      <c r="I62" s="1150">
        <f t="shared" si="57"/>
        <v>0</v>
      </c>
      <c r="J62" s="311">
        <f t="shared" ref="J62:AS62" si="80">+$B28/12*J28</f>
        <v>0</v>
      </c>
      <c r="K62" s="311">
        <f t="shared" si="80"/>
        <v>0</v>
      </c>
      <c r="L62" s="311">
        <f t="shared" si="80"/>
        <v>0</v>
      </c>
      <c r="M62" s="311">
        <f t="shared" si="80"/>
        <v>0</v>
      </c>
      <c r="N62" s="311">
        <f t="shared" si="80"/>
        <v>0</v>
      </c>
      <c r="O62" s="311">
        <f t="shared" si="80"/>
        <v>0</v>
      </c>
      <c r="P62" s="311">
        <f t="shared" si="80"/>
        <v>0</v>
      </c>
      <c r="Q62" s="311">
        <f t="shared" si="80"/>
        <v>0</v>
      </c>
      <c r="R62" s="311">
        <f t="shared" si="80"/>
        <v>0</v>
      </c>
      <c r="S62" s="311">
        <f t="shared" si="80"/>
        <v>0</v>
      </c>
      <c r="T62" s="311">
        <f t="shared" si="80"/>
        <v>0</v>
      </c>
      <c r="U62" s="311">
        <f t="shared" si="80"/>
        <v>0</v>
      </c>
      <c r="V62" s="311">
        <f t="shared" si="80"/>
        <v>0</v>
      </c>
      <c r="W62" s="311">
        <f t="shared" si="80"/>
        <v>0</v>
      </c>
      <c r="X62" s="311">
        <f t="shared" si="80"/>
        <v>0</v>
      </c>
      <c r="Y62" s="311">
        <f t="shared" si="80"/>
        <v>0</v>
      </c>
      <c r="Z62" s="311">
        <f t="shared" si="80"/>
        <v>0</v>
      </c>
      <c r="AA62" s="311">
        <f t="shared" si="80"/>
        <v>0</v>
      </c>
      <c r="AB62" s="311">
        <f t="shared" si="80"/>
        <v>0</v>
      </c>
      <c r="AC62" s="311">
        <f t="shared" si="80"/>
        <v>0</v>
      </c>
      <c r="AD62" s="311">
        <f t="shared" si="80"/>
        <v>0</v>
      </c>
      <c r="AE62" s="311">
        <f t="shared" si="80"/>
        <v>0</v>
      </c>
      <c r="AF62" s="311">
        <f t="shared" si="80"/>
        <v>0</v>
      </c>
      <c r="AG62" s="311">
        <f t="shared" si="80"/>
        <v>0</v>
      </c>
      <c r="AH62" s="311">
        <f t="shared" si="80"/>
        <v>0</v>
      </c>
      <c r="AI62" s="311">
        <f t="shared" si="80"/>
        <v>0</v>
      </c>
      <c r="AJ62" s="311">
        <f t="shared" si="80"/>
        <v>0</v>
      </c>
      <c r="AK62" s="311">
        <f t="shared" si="80"/>
        <v>0</v>
      </c>
      <c r="AL62" s="311">
        <f t="shared" si="80"/>
        <v>0</v>
      </c>
      <c r="AM62" s="311">
        <f t="shared" si="80"/>
        <v>0</v>
      </c>
      <c r="AN62" s="311">
        <f t="shared" si="80"/>
        <v>0</v>
      </c>
      <c r="AO62" s="311">
        <f t="shared" si="80"/>
        <v>0</v>
      </c>
      <c r="AP62" s="311">
        <f t="shared" si="80"/>
        <v>0</v>
      </c>
      <c r="AQ62" s="311">
        <f t="shared" si="80"/>
        <v>0</v>
      </c>
      <c r="AR62" s="311">
        <f t="shared" si="80"/>
        <v>0</v>
      </c>
      <c r="AS62" s="311">
        <f t="shared" si="80"/>
        <v>0</v>
      </c>
    </row>
    <row r="63" spans="1:45" outlineLevel="2">
      <c r="A63" s="836">
        <f t="shared" si="54"/>
        <v>25</v>
      </c>
      <c r="B63" s="837">
        <f t="shared" si="55"/>
        <v>0</v>
      </c>
      <c r="C63" s="1235"/>
      <c r="D63" s="1236"/>
      <c r="E63" s="1236"/>
      <c r="F63" s="1236"/>
      <c r="G63" s="1237"/>
      <c r="H63" s="311">
        <f t="shared" si="56"/>
        <v>0</v>
      </c>
      <c r="I63" s="1150">
        <f t="shared" si="57"/>
        <v>0</v>
      </c>
      <c r="J63" s="311">
        <f t="shared" ref="J63:AS63" si="81">+$B29/12*J29</f>
        <v>0</v>
      </c>
      <c r="K63" s="311">
        <f t="shared" si="81"/>
        <v>0</v>
      </c>
      <c r="L63" s="311">
        <f t="shared" si="81"/>
        <v>0</v>
      </c>
      <c r="M63" s="311">
        <f t="shared" si="81"/>
        <v>0</v>
      </c>
      <c r="N63" s="311">
        <f t="shared" si="81"/>
        <v>0</v>
      </c>
      <c r="O63" s="311">
        <f t="shared" si="81"/>
        <v>0</v>
      </c>
      <c r="P63" s="311">
        <f t="shared" si="81"/>
        <v>0</v>
      </c>
      <c r="Q63" s="311">
        <f t="shared" si="81"/>
        <v>0</v>
      </c>
      <c r="R63" s="311">
        <f t="shared" si="81"/>
        <v>0</v>
      </c>
      <c r="S63" s="311">
        <f t="shared" si="81"/>
        <v>0</v>
      </c>
      <c r="T63" s="311">
        <f t="shared" si="81"/>
        <v>0</v>
      </c>
      <c r="U63" s="311">
        <f t="shared" si="81"/>
        <v>0</v>
      </c>
      <c r="V63" s="311">
        <f t="shared" si="81"/>
        <v>0</v>
      </c>
      <c r="W63" s="311">
        <f t="shared" si="81"/>
        <v>0</v>
      </c>
      <c r="X63" s="311">
        <f t="shared" si="81"/>
        <v>0</v>
      </c>
      <c r="Y63" s="311">
        <f t="shared" si="81"/>
        <v>0</v>
      </c>
      <c r="Z63" s="311">
        <f t="shared" si="81"/>
        <v>0</v>
      </c>
      <c r="AA63" s="311">
        <f t="shared" si="81"/>
        <v>0</v>
      </c>
      <c r="AB63" s="311">
        <f t="shared" si="81"/>
        <v>0</v>
      </c>
      <c r="AC63" s="311">
        <f t="shared" si="81"/>
        <v>0</v>
      </c>
      <c r="AD63" s="311">
        <f t="shared" si="81"/>
        <v>0</v>
      </c>
      <c r="AE63" s="311">
        <f t="shared" si="81"/>
        <v>0</v>
      </c>
      <c r="AF63" s="311">
        <f t="shared" si="81"/>
        <v>0</v>
      </c>
      <c r="AG63" s="311">
        <f t="shared" si="81"/>
        <v>0</v>
      </c>
      <c r="AH63" s="311">
        <f t="shared" si="81"/>
        <v>0</v>
      </c>
      <c r="AI63" s="311">
        <f t="shared" si="81"/>
        <v>0</v>
      </c>
      <c r="AJ63" s="311">
        <f t="shared" si="81"/>
        <v>0</v>
      </c>
      <c r="AK63" s="311">
        <f t="shared" si="81"/>
        <v>0</v>
      </c>
      <c r="AL63" s="311">
        <f t="shared" si="81"/>
        <v>0</v>
      </c>
      <c r="AM63" s="311">
        <f t="shared" si="81"/>
        <v>0</v>
      </c>
      <c r="AN63" s="311">
        <f t="shared" si="81"/>
        <v>0</v>
      </c>
      <c r="AO63" s="311">
        <f t="shared" si="81"/>
        <v>0</v>
      </c>
      <c r="AP63" s="311">
        <f t="shared" si="81"/>
        <v>0</v>
      </c>
      <c r="AQ63" s="311">
        <f t="shared" si="81"/>
        <v>0</v>
      </c>
      <c r="AR63" s="311">
        <f t="shared" si="81"/>
        <v>0</v>
      </c>
      <c r="AS63" s="311">
        <f t="shared" si="81"/>
        <v>0</v>
      </c>
    </row>
    <row r="64" spans="1:45" outlineLevel="2">
      <c r="A64" s="836">
        <f t="shared" si="54"/>
        <v>26</v>
      </c>
      <c r="B64" s="837">
        <f t="shared" si="55"/>
        <v>0</v>
      </c>
      <c r="C64" s="1235"/>
      <c r="D64" s="1236"/>
      <c r="E64" s="1236"/>
      <c r="F64" s="1236"/>
      <c r="G64" s="1237"/>
      <c r="H64" s="311">
        <f t="shared" si="56"/>
        <v>0</v>
      </c>
      <c r="I64" s="1150">
        <f t="shared" si="57"/>
        <v>0</v>
      </c>
      <c r="J64" s="311">
        <f t="shared" ref="J64:AS64" si="82">+$B30/12*J30</f>
        <v>0</v>
      </c>
      <c r="K64" s="311">
        <f t="shared" si="82"/>
        <v>0</v>
      </c>
      <c r="L64" s="311">
        <f t="shared" si="82"/>
        <v>0</v>
      </c>
      <c r="M64" s="311">
        <f t="shared" si="82"/>
        <v>0</v>
      </c>
      <c r="N64" s="311">
        <f t="shared" si="82"/>
        <v>0</v>
      </c>
      <c r="O64" s="311">
        <f t="shared" si="82"/>
        <v>0</v>
      </c>
      <c r="P64" s="311">
        <f t="shared" si="82"/>
        <v>0</v>
      </c>
      <c r="Q64" s="311">
        <f t="shared" si="82"/>
        <v>0</v>
      </c>
      <c r="R64" s="311">
        <f t="shared" si="82"/>
        <v>0</v>
      </c>
      <c r="S64" s="311">
        <f t="shared" si="82"/>
        <v>0</v>
      </c>
      <c r="T64" s="311">
        <f t="shared" si="82"/>
        <v>0</v>
      </c>
      <c r="U64" s="311">
        <f t="shared" si="82"/>
        <v>0</v>
      </c>
      <c r="V64" s="311">
        <f t="shared" si="82"/>
        <v>0</v>
      </c>
      <c r="W64" s="311">
        <f t="shared" si="82"/>
        <v>0</v>
      </c>
      <c r="X64" s="311">
        <f t="shared" si="82"/>
        <v>0</v>
      </c>
      <c r="Y64" s="311">
        <f t="shared" si="82"/>
        <v>0</v>
      </c>
      <c r="Z64" s="311">
        <f t="shared" si="82"/>
        <v>0</v>
      </c>
      <c r="AA64" s="311">
        <f t="shared" si="82"/>
        <v>0</v>
      </c>
      <c r="AB64" s="311">
        <f t="shared" si="82"/>
        <v>0</v>
      </c>
      <c r="AC64" s="311">
        <f t="shared" si="82"/>
        <v>0</v>
      </c>
      <c r="AD64" s="311">
        <f t="shared" si="82"/>
        <v>0</v>
      </c>
      <c r="AE64" s="311">
        <f t="shared" si="82"/>
        <v>0</v>
      </c>
      <c r="AF64" s="311">
        <f t="shared" si="82"/>
        <v>0</v>
      </c>
      <c r="AG64" s="311">
        <f t="shared" si="82"/>
        <v>0</v>
      </c>
      <c r="AH64" s="311">
        <f t="shared" si="82"/>
        <v>0</v>
      </c>
      <c r="AI64" s="311">
        <f t="shared" si="82"/>
        <v>0</v>
      </c>
      <c r="AJ64" s="311">
        <f t="shared" si="82"/>
        <v>0</v>
      </c>
      <c r="AK64" s="311">
        <f t="shared" si="82"/>
        <v>0</v>
      </c>
      <c r="AL64" s="311">
        <f t="shared" si="82"/>
        <v>0</v>
      </c>
      <c r="AM64" s="311">
        <f t="shared" si="82"/>
        <v>0</v>
      </c>
      <c r="AN64" s="311">
        <f t="shared" si="82"/>
        <v>0</v>
      </c>
      <c r="AO64" s="311">
        <f t="shared" si="82"/>
        <v>0</v>
      </c>
      <c r="AP64" s="311">
        <f t="shared" si="82"/>
        <v>0</v>
      </c>
      <c r="AQ64" s="311">
        <f t="shared" si="82"/>
        <v>0</v>
      </c>
      <c r="AR64" s="311">
        <f t="shared" si="82"/>
        <v>0</v>
      </c>
      <c r="AS64" s="311">
        <f t="shared" si="82"/>
        <v>0</v>
      </c>
    </row>
    <row r="65" spans="1:45" outlineLevel="2">
      <c r="A65" s="836">
        <f t="shared" si="54"/>
        <v>27</v>
      </c>
      <c r="B65" s="837">
        <f t="shared" si="55"/>
        <v>0</v>
      </c>
      <c r="C65" s="1235"/>
      <c r="D65" s="1236"/>
      <c r="E65" s="1236"/>
      <c r="F65" s="1236"/>
      <c r="G65" s="1237"/>
      <c r="H65" s="311">
        <f t="shared" si="56"/>
        <v>0</v>
      </c>
      <c r="I65" s="1150">
        <f t="shared" si="57"/>
        <v>0</v>
      </c>
      <c r="J65" s="311">
        <f t="shared" ref="J65:AS65" si="83">+$B31/12*J31</f>
        <v>0</v>
      </c>
      <c r="K65" s="311">
        <f t="shared" si="83"/>
        <v>0</v>
      </c>
      <c r="L65" s="311">
        <f t="shared" si="83"/>
        <v>0</v>
      </c>
      <c r="M65" s="311">
        <f t="shared" si="83"/>
        <v>0</v>
      </c>
      <c r="N65" s="311">
        <f t="shared" si="83"/>
        <v>0</v>
      </c>
      <c r="O65" s="311">
        <f t="shared" si="83"/>
        <v>0</v>
      </c>
      <c r="P65" s="311">
        <f t="shared" si="83"/>
        <v>0</v>
      </c>
      <c r="Q65" s="311">
        <f t="shared" si="83"/>
        <v>0</v>
      </c>
      <c r="R65" s="311">
        <f t="shared" si="83"/>
        <v>0</v>
      </c>
      <c r="S65" s="311">
        <f t="shared" si="83"/>
        <v>0</v>
      </c>
      <c r="T65" s="311">
        <f t="shared" si="83"/>
        <v>0</v>
      </c>
      <c r="U65" s="311">
        <f t="shared" si="83"/>
        <v>0</v>
      </c>
      <c r="V65" s="311">
        <f t="shared" si="83"/>
        <v>0</v>
      </c>
      <c r="W65" s="311">
        <f t="shared" si="83"/>
        <v>0</v>
      </c>
      <c r="X65" s="311">
        <f t="shared" si="83"/>
        <v>0</v>
      </c>
      <c r="Y65" s="311">
        <f t="shared" si="83"/>
        <v>0</v>
      </c>
      <c r="Z65" s="311">
        <f t="shared" si="83"/>
        <v>0</v>
      </c>
      <c r="AA65" s="311">
        <f t="shared" si="83"/>
        <v>0</v>
      </c>
      <c r="AB65" s="311">
        <f t="shared" si="83"/>
        <v>0</v>
      </c>
      <c r="AC65" s="311">
        <f t="shared" si="83"/>
        <v>0</v>
      </c>
      <c r="AD65" s="311">
        <f t="shared" si="83"/>
        <v>0</v>
      </c>
      <c r="AE65" s="311">
        <f t="shared" si="83"/>
        <v>0</v>
      </c>
      <c r="AF65" s="311">
        <f t="shared" si="83"/>
        <v>0</v>
      </c>
      <c r="AG65" s="311">
        <f t="shared" si="83"/>
        <v>0</v>
      </c>
      <c r="AH65" s="311">
        <f t="shared" si="83"/>
        <v>0</v>
      </c>
      <c r="AI65" s="311">
        <f t="shared" si="83"/>
        <v>0</v>
      </c>
      <c r="AJ65" s="311">
        <f t="shared" si="83"/>
        <v>0</v>
      </c>
      <c r="AK65" s="311">
        <f t="shared" si="83"/>
        <v>0</v>
      </c>
      <c r="AL65" s="311">
        <f t="shared" si="83"/>
        <v>0</v>
      </c>
      <c r="AM65" s="311">
        <f t="shared" si="83"/>
        <v>0</v>
      </c>
      <c r="AN65" s="311">
        <f t="shared" si="83"/>
        <v>0</v>
      </c>
      <c r="AO65" s="311">
        <f t="shared" si="83"/>
        <v>0</v>
      </c>
      <c r="AP65" s="311">
        <f t="shared" si="83"/>
        <v>0</v>
      </c>
      <c r="AQ65" s="311">
        <f t="shared" si="83"/>
        <v>0</v>
      </c>
      <c r="AR65" s="311">
        <f t="shared" si="83"/>
        <v>0</v>
      </c>
      <c r="AS65" s="311">
        <f t="shared" si="83"/>
        <v>0</v>
      </c>
    </row>
    <row r="66" spans="1:45" outlineLevel="2">
      <c r="A66" s="836">
        <f t="shared" si="54"/>
        <v>28</v>
      </c>
      <c r="B66" s="837">
        <f t="shared" si="55"/>
        <v>0</v>
      </c>
      <c r="C66" s="1235"/>
      <c r="D66" s="1236"/>
      <c r="E66" s="1236"/>
      <c r="F66" s="1236"/>
      <c r="G66" s="1237"/>
      <c r="H66" s="311">
        <f t="shared" si="56"/>
        <v>0</v>
      </c>
      <c r="I66" s="1150">
        <f t="shared" si="57"/>
        <v>0</v>
      </c>
      <c r="J66" s="311">
        <f t="shared" ref="J66:AS66" si="84">+$B32/12*J32</f>
        <v>0</v>
      </c>
      <c r="K66" s="311">
        <f t="shared" si="84"/>
        <v>0</v>
      </c>
      <c r="L66" s="311">
        <f t="shared" si="84"/>
        <v>0</v>
      </c>
      <c r="M66" s="311">
        <f t="shared" si="84"/>
        <v>0</v>
      </c>
      <c r="N66" s="311">
        <f t="shared" si="84"/>
        <v>0</v>
      </c>
      <c r="O66" s="311">
        <f t="shared" si="84"/>
        <v>0</v>
      </c>
      <c r="P66" s="311">
        <f t="shared" si="84"/>
        <v>0</v>
      </c>
      <c r="Q66" s="311">
        <f t="shared" si="84"/>
        <v>0</v>
      </c>
      <c r="R66" s="311">
        <f t="shared" si="84"/>
        <v>0</v>
      </c>
      <c r="S66" s="311">
        <f t="shared" si="84"/>
        <v>0</v>
      </c>
      <c r="T66" s="311">
        <f t="shared" si="84"/>
        <v>0</v>
      </c>
      <c r="U66" s="311">
        <f t="shared" si="84"/>
        <v>0</v>
      </c>
      <c r="V66" s="311">
        <f t="shared" si="84"/>
        <v>0</v>
      </c>
      <c r="W66" s="311">
        <f t="shared" si="84"/>
        <v>0</v>
      </c>
      <c r="X66" s="311">
        <f t="shared" si="84"/>
        <v>0</v>
      </c>
      <c r="Y66" s="311">
        <f t="shared" si="84"/>
        <v>0</v>
      </c>
      <c r="Z66" s="311">
        <f t="shared" si="84"/>
        <v>0</v>
      </c>
      <c r="AA66" s="311">
        <f t="shared" si="84"/>
        <v>0</v>
      </c>
      <c r="AB66" s="311">
        <f t="shared" si="84"/>
        <v>0</v>
      </c>
      <c r="AC66" s="311">
        <f t="shared" si="84"/>
        <v>0</v>
      </c>
      <c r="AD66" s="311">
        <f t="shared" si="84"/>
        <v>0</v>
      </c>
      <c r="AE66" s="311">
        <f t="shared" si="84"/>
        <v>0</v>
      </c>
      <c r="AF66" s="311">
        <f t="shared" si="84"/>
        <v>0</v>
      </c>
      <c r="AG66" s="311">
        <f t="shared" si="84"/>
        <v>0</v>
      </c>
      <c r="AH66" s="311">
        <f t="shared" si="84"/>
        <v>0</v>
      </c>
      <c r="AI66" s="311">
        <f t="shared" si="84"/>
        <v>0</v>
      </c>
      <c r="AJ66" s="311">
        <f t="shared" si="84"/>
        <v>0</v>
      </c>
      <c r="AK66" s="311">
        <f t="shared" si="84"/>
        <v>0</v>
      </c>
      <c r="AL66" s="311">
        <f t="shared" si="84"/>
        <v>0</v>
      </c>
      <c r="AM66" s="311">
        <f t="shared" si="84"/>
        <v>0</v>
      </c>
      <c r="AN66" s="311">
        <f t="shared" si="84"/>
        <v>0</v>
      </c>
      <c r="AO66" s="311">
        <f t="shared" si="84"/>
        <v>0</v>
      </c>
      <c r="AP66" s="311">
        <f t="shared" si="84"/>
        <v>0</v>
      </c>
      <c r="AQ66" s="311">
        <f t="shared" si="84"/>
        <v>0</v>
      </c>
      <c r="AR66" s="311">
        <f t="shared" si="84"/>
        <v>0</v>
      </c>
      <c r="AS66" s="311">
        <f t="shared" si="84"/>
        <v>0</v>
      </c>
    </row>
    <row r="67" spans="1:45" outlineLevel="2">
      <c r="A67" s="836">
        <f t="shared" si="54"/>
        <v>29</v>
      </c>
      <c r="B67" s="837">
        <f t="shared" si="55"/>
        <v>0</v>
      </c>
      <c r="C67" s="1235"/>
      <c r="D67" s="1236"/>
      <c r="E67" s="1236"/>
      <c r="F67" s="1236"/>
      <c r="G67" s="1237"/>
      <c r="H67" s="311">
        <f t="shared" si="56"/>
        <v>0</v>
      </c>
      <c r="I67" s="1150">
        <f t="shared" si="57"/>
        <v>0</v>
      </c>
      <c r="J67" s="311">
        <f t="shared" ref="J67:AS67" si="85">+$B33/12*J33</f>
        <v>0</v>
      </c>
      <c r="K67" s="311">
        <f t="shared" si="85"/>
        <v>0</v>
      </c>
      <c r="L67" s="311">
        <f t="shared" si="85"/>
        <v>0</v>
      </c>
      <c r="M67" s="311">
        <f t="shared" si="85"/>
        <v>0</v>
      </c>
      <c r="N67" s="311">
        <f t="shared" si="85"/>
        <v>0</v>
      </c>
      <c r="O67" s="311">
        <f t="shared" si="85"/>
        <v>0</v>
      </c>
      <c r="P67" s="311">
        <f t="shared" si="85"/>
        <v>0</v>
      </c>
      <c r="Q67" s="311">
        <f t="shared" si="85"/>
        <v>0</v>
      </c>
      <c r="R67" s="311">
        <f t="shared" si="85"/>
        <v>0</v>
      </c>
      <c r="S67" s="311">
        <f t="shared" si="85"/>
        <v>0</v>
      </c>
      <c r="T67" s="311">
        <f t="shared" si="85"/>
        <v>0</v>
      </c>
      <c r="U67" s="311">
        <f t="shared" si="85"/>
        <v>0</v>
      </c>
      <c r="V67" s="311">
        <f t="shared" si="85"/>
        <v>0</v>
      </c>
      <c r="W67" s="311">
        <f t="shared" si="85"/>
        <v>0</v>
      </c>
      <c r="X67" s="311">
        <f t="shared" si="85"/>
        <v>0</v>
      </c>
      <c r="Y67" s="311">
        <f t="shared" si="85"/>
        <v>0</v>
      </c>
      <c r="Z67" s="311">
        <f t="shared" si="85"/>
        <v>0</v>
      </c>
      <c r="AA67" s="311">
        <f t="shared" si="85"/>
        <v>0</v>
      </c>
      <c r="AB67" s="311">
        <f t="shared" si="85"/>
        <v>0</v>
      </c>
      <c r="AC67" s="311">
        <f t="shared" si="85"/>
        <v>0</v>
      </c>
      <c r="AD67" s="311">
        <f t="shared" si="85"/>
        <v>0</v>
      </c>
      <c r="AE67" s="311">
        <f t="shared" si="85"/>
        <v>0</v>
      </c>
      <c r="AF67" s="311">
        <f t="shared" si="85"/>
        <v>0</v>
      </c>
      <c r="AG67" s="311">
        <f t="shared" si="85"/>
        <v>0</v>
      </c>
      <c r="AH67" s="311">
        <f t="shared" si="85"/>
        <v>0</v>
      </c>
      <c r="AI67" s="311">
        <f t="shared" si="85"/>
        <v>0</v>
      </c>
      <c r="AJ67" s="311">
        <f t="shared" si="85"/>
        <v>0</v>
      </c>
      <c r="AK67" s="311">
        <f t="shared" si="85"/>
        <v>0</v>
      </c>
      <c r="AL67" s="311">
        <f t="shared" si="85"/>
        <v>0</v>
      </c>
      <c r="AM67" s="311">
        <f t="shared" si="85"/>
        <v>0</v>
      </c>
      <c r="AN67" s="311">
        <f t="shared" si="85"/>
        <v>0</v>
      </c>
      <c r="AO67" s="311">
        <f t="shared" si="85"/>
        <v>0</v>
      </c>
      <c r="AP67" s="311">
        <f t="shared" si="85"/>
        <v>0</v>
      </c>
      <c r="AQ67" s="311">
        <f t="shared" si="85"/>
        <v>0</v>
      </c>
      <c r="AR67" s="311">
        <f t="shared" si="85"/>
        <v>0</v>
      </c>
      <c r="AS67" s="311">
        <f t="shared" si="85"/>
        <v>0</v>
      </c>
    </row>
    <row r="68" spans="1:45" outlineLevel="2">
      <c r="A68" s="836">
        <f t="shared" si="54"/>
        <v>30</v>
      </c>
      <c r="B68" s="837">
        <f t="shared" si="55"/>
        <v>0</v>
      </c>
      <c r="C68" s="1235"/>
      <c r="D68" s="1236"/>
      <c r="E68" s="1236"/>
      <c r="F68" s="1236"/>
      <c r="G68" s="1237"/>
      <c r="H68" s="311">
        <f t="shared" si="56"/>
        <v>0</v>
      </c>
      <c r="I68" s="1150">
        <f t="shared" si="57"/>
        <v>0</v>
      </c>
      <c r="J68" s="311">
        <f t="shared" ref="J68:AS68" si="86">+$B34/12*J34</f>
        <v>0</v>
      </c>
      <c r="K68" s="311">
        <f t="shared" si="86"/>
        <v>0</v>
      </c>
      <c r="L68" s="311">
        <f t="shared" si="86"/>
        <v>0</v>
      </c>
      <c r="M68" s="311">
        <f t="shared" si="86"/>
        <v>0</v>
      </c>
      <c r="N68" s="311">
        <f t="shared" si="86"/>
        <v>0</v>
      </c>
      <c r="O68" s="311">
        <f t="shared" si="86"/>
        <v>0</v>
      </c>
      <c r="P68" s="311">
        <f t="shared" si="86"/>
        <v>0</v>
      </c>
      <c r="Q68" s="311">
        <f t="shared" si="86"/>
        <v>0</v>
      </c>
      <c r="R68" s="311">
        <f t="shared" si="86"/>
        <v>0</v>
      </c>
      <c r="S68" s="311">
        <f t="shared" si="86"/>
        <v>0</v>
      </c>
      <c r="T68" s="311">
        <f t="shared" si="86"/>
        <v>0</v>
      </c>
      <c r="U68" s="311">
        <f t="shared" si="86"/>
        <v>0</v>
      </c>
      <c r="V68" s="311">
        <f t="shared" si="86"/>
        <v>0</v>
      </c>
      <c r="W68" s="311">
        <f t="shared" si="86"/>
        <v>0</v>
      </c>
      <c r="X68" s="311">
        <f t="shared" si="86"/>
        <v>0</v>
      </c>
      <c r="Y68" s="311">
        <f t="shared" si="86"/>
        <v>0</v>
      </c>
      <c r="Z68" s="311">
        <f t="shared" si="86"/>
        <v>0</v>
      </c>
      <c r="AA68" s="311">
        <f t="shared" si="86"/>
        <v>0</v>
      </c>
      <c r="AB68" s="311">
        <f t="shared" si="86"/>
        <v>0</v>
      </c>
      <c r="AC68" s="311">
        <f t="shared" si="86"/>
        <v>0</v>
      </c>
      <c r="AD68" s="311">
        <f t="shared" si="86"/>
        <v>0</v>
      </c>
      <c r="AE68" s="311">
        <f t="shared" si="86"/>
        <v>0</v>
      </c>
      <c r="AF68" s="311">
        <f t="shared" si="86"/>
        <v>0</v>
      </c>
      <c r="AG68" s="311">
        <f t="shared" si="86"/>
        <v>0</v>
      </c>
      <c r="AH68" s="311">
        <f t="shared" si="86"/>
        <v>0</v>
      </c>
      <c r="AI68" s="311">
        <f t="shared" si="86"/>
        <v>0</v>
      </c>
      <c r="AJ68" s="311">
        <f t="shared" si="86"/>
        <v>0</v>
      </c>
      <c r="AK68" s="311">
        <f t="shared" si="86"/>
        <v>0</v>
      </c>
      <c r="AL68" s="311">
        <f t="shared" si="86"/>
        <v>0</v>
      </c>
      <c r="AM68" s="311">
        <f t="shared" si="86"/>
        <v>0</v>
      </c>
      <c r="AN68" s="311">
        <f t="shared" si="86"/>
        <v>0</v>
      </c>
      <c r="AO68" s="311">
        <f t="shared" si="86"/>
        <v>0</v>
      </c>
      <c r="AP68" s="311">
        <f t="shared" si="86"/>
        <v>0</v>
      </c>
      <c r="AQ68" s="311">
        <f t="shared" si="86"/>
        <v>0</v>
      </c>
      <c r="AR68" s="311">
        <f t="shared" si="86"/>
        <v>0</v>
      </c>
      <c r="AS68" s="311">
        <f t="shared" si="86"/>
        <v>0</v>
      </c>
    </row>
    <row r="69" spans="1:45" s="336" customFormat="1">
      <c r="A69" s="333" t="s">
        <v>5</v>
      </c>
      <c r="B69" s="828"/>
      <c r="C69" s="828"/>
      <c r="D69" s="828"/>
      <c r="E69" s="828"/>
      <c r="F69" s="828"/>
      <c r="G69" s="334" t="s">
        <v>46</v>
      </c>
      <c r="H69" s="311">
        <f>SUM(H39:H68)</f>
        <v>0</v>
      </c>
      <c r="I69" s="335"/>
      <c r="J69" s="337">
        <f>SUM(J39:J68)</f>
        <v>0</v>
      </c>
      <c r="K69" s="337">
        <f t="shared" ref="K69:AS69" si="87">SUM(K39:K68)</f>
        <v>0</v>
      </c>
      <c r="L69" s="337">
        <f t="shared" si="87"/>
        <v>0</v>
      </c>
      <c r="M69" s="337">
        <f t="shared" si="87"/>
        <v>0</v>
      </c>
      <c r="N69" s="337">
        <f t="shared" si="87"/>
        <v>0</v>
      </c>
      <c r="O69" s="337">
        <f t="shared" si="87"/>
        <v>0</v>
      </c>
      <c r="P69" s="337">
        <f t="shared" si="87"/>
        <v>0</v>
      </c>
      <c r="Q69" s="337">
        <f t="shared" si="87"/>
        <v>0</v>
      </c>
      <c r="R69" s="337">
        <f t="shared" si="87"/>
        <v>0</v>
      </c>
      <c r="S69" s="337">
        <f t="shared" si="87"/>
        <v>0</v>
      </c>
      <c r="T69" s="337">
        <f t="shared" si="87"/>
        <v>0</v>
      </c>
      <c r="U69" s="337">
        <f t="shared" si="87"/>
        <v>0</v>
      </c>
      <c r="V69" s="337">
        <f t="shared" si="87"/>
        <v>0</v>
      </c>
      <c r="W69" s="337">
        <f t="shared" si="87"/>
        <v>0</v>
      </c>
      <c r="X69" s="337">
        <f t="shared" si="87"/>
        <v>0</v>
      </c>
      <c r="Y69" s="337">
        <f t="shared" si="87"/>
        <v>0</v>
      </c>
      <c r="Z69" s="337">
        <f t="shared" si="87"/>
        <v>0</v>
      </c>
      <c r="AA69" s="337">
        <f t="shared" si="87"/>
        <v>0</v>
      </c>
      <c r="AB69" s="337">
        <f t="shared" si="87"/>
        <v>0</v>
      </c>
      <c r="AC69" s="337">
        <f t="shared" si="87"/>
        <v>0</v>
      </c>
      <c r="AD69" s="337">
        <f t="shared" si="87"/>
        <v>0</v>
      </c>
      <c r="AE69" s="337">
        <f t="shared" si="87"/>
        <v>0</v>
      </c>
      <c r="AF69" s="337">
        <f t="shared" si="87"/>
        <v>0</v>
      </c>
      <c r="AG69" s="337">
        <f t="shared" si="87"/>
        <v>0</v>
      </c>
      <c r="AH69" s="337">
        <f t="shared" si="87"/>
        <v>0</v>
      </c>
      <c r="AI69" s="337">
        <f t="shared" si="87"/>
        <v>0</v>
      </c>
      <c r="AJ69" s="337">
        <f t="shared" si="87"/>
        <v>0</v>
      </c>
      <c r="AK69" s="337">
        <f t="shared" si="87"/>
        <v>0</v>
      </c>
      <c r="AL69" s="337">
        <f t="shared" si="87"/>
        <v>0</v>
      </c>
      <c r="AM69" s="337">
        <f t="shared" si="87"/>
        <v>0</v>
      </c>
      <c r="AN69" s="337">
        <f>SUM(AN39:AN68)</f>
        <v>0</v>
      </c>
      <c r="AO69" s="337">
        <f t="shared" si="87"/>
        <v>0</v>
      </c>
      <c r="AP69" s="337">
        <f t="shared" si="87"/>
        <v>0</v>
      </c>
      <c r="AQ69" s="337">
        <f t="shared" si="87"/>
        <v>0</v>
      </c>
      <c r="AR69" s="337">
        <f t="shared" si="87"/>
        <v>0</v>
      </c>
      <c r="AS69" s="337">
        <f t="shared" si="87"/>
        <v>0</v>
      </c>
    </row>
    <row r="70" spans="1:45" s="336" customFormat="1">
      <c r="A70" s="336" t="s">
        <v>141</v>
      </c>
      <c r="G70" s="338"/>
      <c r="H70" s="338"/>
      <c r="I70" s="337"/>
      <c r="J70" s="339">
        <f>SUMPRODUCT(J39:J68,$I39:$I68)</f>
        <v>0</v>
      </c>
      <c r="K70" s="337">
        <f t="shared" ref="K70:AS70" si="88">SUMPRODUCT(K39:K68,$I39:$I68)</f>
        <v>0</v>
      </c>
      <c r="L70" s="337">
        <f t="shared" si="88"/>
        <v>0</v>
      </c>
      <c r="M70" s="337">
        <f t="shared" si="88"/>
        <v>0</v>
      </c>
      <c r="N70" s="337">
        <f t="shared" si="88"/>
        <v>0</v>
      </c>
      <c r="O70" s="337">
        <f t="shared" si="88"/>
        <v>0</v>
      </c>
      <c r="P70" s="337">
        <f t="shared" si="88"/>
        <v>0</v>
      </c>
      <c r="Q70" s="337">
        <f t="shared" si="88"/>
        <v>0</v>
      </c>
      <c r="R70" s="337">
        <f t="shared" si="88"/>
        <v>0</v>
      </c>
      <c r="S70" s="337">
        <f t="shared" si="88"/>
        <v>0</v>
      </c>
      <c r="T70" s="337">
        <f t="shared" si="88"/>
        <v>0</v>
      </c>
      <c r="U70" s="337">
        <f t="shared" si="88"/>
        <v>0</v>
      </c>
      <c r="V70" s="337">
        <f t="shared" si="88"/>
        <v>0</v>
      </c>
      <c r="W70" s="337">
        <f t="shared" si="88"/>
        <v>0</v>
      </c>
      <c r="X70" s="337">
        <f t="shared" si="88"/>
        <v>0</v>
      </c>
      <c r="Y70" s="337">
        <f t="shared" si="88"/>
        <v>0</v>
      </c>
      <c r="Z70" s="337">
        <f t="shared" si="88"/>
        <v>0</v>
      </c>
      <c r="AA70" s="337">
        <f t="shared" si="88"/>
        <v>0</v>
      </c>
      <c r="AB70" s="337">
        <f t="shared" si="88"/>
        <v>0</v>
      </c>
      <c r="AC70" s="337">
        <f t="shared" si="88"/>
        <v>0</v>
      </c>
      <c r="AD70" s="337">
        <f t="shared" si="88"/>
        <v>0</v>
      </c>
      <c r="AE70" s="337">
        <f t="shared" si="88"/>
        <v>0</v>
      </c>
      <c r="AF70" s="337">
        <f t="shared" si="88"/>
        <v>0</v>
      </c>
      <c r="AG70" s="337">
        <f t="shared" si="88"/>
        <v>0</v>
      </c>
      <c r="AH70" s="337">
        <f t="shared" si="88"/>
        <v>0</v>
      </c>
      <c r="AI70" s="337">
        <f t="shared" si="88"/>
        <v>0</v>
      </c>
      <c r="AJ70" s="337">
        <f t="shared" si="88"/>
        <v>0</v>
      </c>
      <c r="AK70" s="337">
        <f t="shared" si="88"/>
        <v>0</v>
      </c>
      <c r="AL70" s="337">
        <f t="shared" si="88"/>
        <v>0</v>
      </c>
      <c r="AM70" s="337">
        <f t="shared" si="88"/>
        <v>0</v>
      </c>
      <c r="AN70" s="337">
        <f t="shared" si="88"/>
        <v>0</v>
      </c>
      <c r="AO70" s="337">
        <f t="shared" si="88"/>
        <v>0</v>
      </c>
      <c r="AP70" s="337">
        <f t="shared" si="88"/>
        <v>0</v>
      </c>
      <c r="AQ70" s="337">
        <f t="shared" si="88"/>
        <v>0</v>
      </c>
      <c r="AR70" s="337">
        <f t="shared" si="88"/>
        <v>0</v>
      </c>
      <c r="AS70" s="337">
        <f t="shared" si="88"/>
        <v>0</v>
      </c>
    </row>
    <row r="71" spans="1:45">
      <c r="I71" s="340"/>
      <c r="J71" s="341"/>
    </row>
    <row r="72" spans="1:45" ht="31.5">
      <c r="A72" s="327" t="s">
        <v>239</v>
      </c>
      <c r="B72" s="838" t="s">
        <v>240</v>
      </c>
      <c r="C72" s="329"/>
      <c r="D72" s="329"/>
      <c r="E72" s="329"/>
      <c r="F72" s="329"/>
      <c r="G72" s="329"/>
      <c r="H72" s="329" t="s">
        <v>229</v>
      </c>
      <c r="I72" s="329"/>
      <c r="J72" s="330" t="s">
        <v>143</v>
      </c>
      <c r="K72" s="330" t="s">
        <v>144</v>
      </c>
      <c r="L72" s="330" t="s">
        <v>145</v>
      </c>
      <c r="M72" s="330" t="s">
        <v>146</v>
      </c>
      <c r="N72" s="330" t="s">
        <v>147</v>
      </c>
      <c r="O72" s="330" t="s">
        <v>148</v>
      </c>
      <c r="P72" s="330" t="s">
        <v>149</v>
      </c>
      <c r="Q72" s="330" t="s">
        <v>150</v>
      </c>
      <c r="R72" s="330" t="s">
        <v>151</v>
      </c>
      <c r="S72" s="330" t="s">
        <v>152</v>
      </c>
      <c r="T72" s="330" t="s">
        <v>153</v>
      </c>
      <c r="U72" s="330" t="s">
        <v>154</v>
      </c>
      <c r="V72" s="330" t="s">
        <v>155</v>
      </c>
      <c r="W72" s="330" t="s">
        <v>156</v>
      </c>
      <c r="X72" s="330" t="s">
        <v>157</v>
      </c>
      <c r="Y72" s="330" t="s">
        <v>158</v>
      </c>
      <c r="Z72" s="330" t="s">
        <v>159</v>
      </c>
      <c r="AA72" s="330" t="s">
        <v>160</v>
      </c>
      <c r="AB72" s="330" t="s">
        <v>161</v>
      </c>
      <c r="AC72" s="330" t="s">
        <v>162</v>
      </c>
      <c r="AD72" s="330" t="s">
        <v>163</v>
      </c>
      <c r="AE72" s="330" t="s">
        <v>164</v>
      </c>
      <c r="AF72" s="330" t="s">
        <v>165</v>
      </c>
      <c r="AG72" s="330" t="s">
        <v>166</v>
      </c>
      <c r="AH72" s="330" t="s">
        <v>167</v>
      </c>
      <c r="AI72" s="330" t="s">
        <v>168</v>
      </c>
      <c r="AJ72" s="330" t="s">
        <v>169</v>
      </c>
      <c r="AK72" s="330" t="s">
        <v>170</v>
      </c>
      <c r="AL72" s="330" t="s">
        <v>171</v>
      </c>
      <c r="AM72" s="330" t="s">
        <v>172</v>
      </c>
      <c r="AN72" s="330" t="s">
        <v>173</v>
      </c>
      <c r="AO72" s="330" t="s">
        <v>174</v>
      </c>
      <c r="AP72" s="330" t="s">
        <v>175</v>
      </c>
      <c r="AQ72" s="330" t="s">
        <v>176</v>
      </c>
      <c r="AR72" s="330" t="s">
        <v>177</v>
      </c>
      <c r="AS72" s="331" t="s">
        <v>178</v>
      </c>
    </row>
    <row r="73" spans="1:45">
      <c r="A73" s="836">
        <f>+A39</f>
        <v>1</v>
      </c>
      <c r="B73" s="837">
        <f>IF(ISERROR(+C5/B5),0,(+C5/B5))</f>
        <v>0</v>
      </c>
      <c r="C73" s="1235"/>
      <c r="D73" s="1236"/>
      <c r="E73" s="1236"/>
      <c r="F73" s="1236"/>
      <c r="G73" s="1237"/>
      <c r="H73" s="311">
        <f>SUM(J73:U73)</f>
        <v>0</v>
      </c>
      <c r="I73" s="332"/>
      <c r="J73" s="311">
        <f>+J39*$B73</f>
        <v>0</v>
      </c>
      <c r="K73" s="311">
        <f t="shared" ref="K73:AS73" si="89">+K39*$B73</f>
        <v>0</v>
      </c>
      <c r="L73" s="311">
        <f t="shared" si="89"/>
        <v>0</v>
      </c>
      <c r="M73" s="311">
        <f t="shared" si="89"/>
        <v>0</v>
      </c>
      <c r="N73" s="311">
        <f t="shared" si="89"/>
        <v>0</v>
      </c>
      <c r="O73" s="311">
        <f t="shared" si="89"/>
        <v>0</v>
      </c>
      <c r="P73" s="311">
        <f t="shared" si="89"/>
        <v>0</v>
      </c>
      <c r="Q73" s="311">
        <f t="shared" si="89"/>
        <v>0</v>
      </c>
      <c r="R73" s="311">
        <f t="shared" si="89"/>
        <v>0</v>
      </c>
      <c r="S73" s="311">
        <f t="shared" si="89"/>
        <v>0</v>
      </c>
      <c r="T73" s="311">
        <f t="shared" si="89"/>
        <v>0</v>
      </c>
      <c r="U73" s="311">
        <f t="shared" si="89"/>
        <v>0</v>
      </c>
      <c r="V73" s="311">
        <f t="shared" si="89"/>
        <v>0</v>
      </c>
      <c r="W73" s="311">
        <f t="shared" si="89"/>
        <v>0</v>
      </c>
      <c r="X73" s="311">
        <f t="shared" si="89"/>
        <v>0</v>
      </c>
      <c r="Y73" s="311">
        <f t="shared" si="89"/>
        <v>0</v>
      </c>
      <c r="Z73" s="311">
        <f t="shared" si="89"/>
        <v>0</v>
      </c>
      <c r="AA73" s="311">
        <f t="shared" si="89"/>
        <v>0</v>
      </c>
      <c r="AB73" s="311">
        <f t="shared" si="89"/>
        <v>0</v>
      </c>
      <c r="AC73" s="311">
        <f t="shared" si="89"/>
        <v>0</v>
      </c>
      <c r="AD73" s="311">
        <f t="shared" si="89"/>
        <v>0</v>
      </c>
      <c r="AE73" s="311">
        <f t="shared" si="89"/>
        <v>0</v>
      </c>
      <c r="AF73" s="311">
        <f t="shared" si="89"/>
        <v>0</v>
      </c>
      <c r="AG73" s="311">
        <f t="shared" si="89"/>
        <v>0</v>
      </c>
      <c r="AH73" s="311">
        <f t="shared" si="89"/>
        <v>0</v>
      </c>
      <c r="AI73" s="311">
        <f t="shared" si="89"/>
        <v>0</v>
      </c>
      <c r="AJ73" s="311">
        <f t="shared" si="89"/>
        <v>0</v>
      </c>
      <c r="AK73" s="311">
        <f t="shared" si="89"/>
        <v>0</v>
      </c>
      <c r="AL73" s="311">
        <f t="shared" si="89"/>
        <v>0</v>
      </c>
      <c r="AM73" s="311">
        <f t="shared" si="89"/>
        <v>0</v>
      </c>
      <c r="AN73" s="311">
        <f t="shared" si="89"/>
        <v>0</v>
      </c>
      <c r="AO73" s="311">
        <f t="shared" si="89"/>
        <v>0</v>
      </c>
      <c r="AP73" s="311">
        <f t="shared" si="89"/>
        <v>0</v>
      </c>
      <c r="AQ73" s="311">
        <f t="shared" si="89"/>
        <v>0</v>
      </c>
      <c r="AR73" s="311">
        <f t="shared" si="89"/>
        <v>0</v>
      </c>
      <c r="AS73" s="311">
        <f t="shared" si="89"/>
        <v>0</v>
      </c>
    </row>
    <row r="74" spans="1:45">
      <c r="A74" s="836">
        <f t="shared" ref="A74:A102" si="90">+A40</f>
        <v>2</v>
      </c>
      <c r="B74" s="837">
        <f t="shared" ref="B74:B102" si="91">IF(ISERROR(+C6/B6),0,(+C6/B6))</f>
        <v>0</v>
      </c>
      <c r="C74" s="1235"/>
      <c r="D74" s="1236"/>
      <c r="E74" s="1236"/>
      <c r="F74" s="1236"/>
      <c r="G74" s="1237"/>
      <c r="H74" s="311">
        <f t="shared" ref="H74:H102" si="92">SUM(J74:U74)</f>
        <v>0</v>
      </c>
      <c r="I74" s="332"/>
      <c r="J74" s="311">
        <f t="shared" ref="J74:AS74" si="93">+J40*$B74</f>
        <v>0</v>
      </c>
      <c r="K74" s="311">
        <f t="shared" si="93"/>
        <v>0</v>
      </c>
      <c r="L74" s="311">
        <f t="shared" si="93"/>
        <v>0</v>
      </c>
      <c r="M74" s="311">
        <f t="shared" si="93"/>
        <v>0</v>
      </c>
      <c r="N74" s="311">
        <f t="shared" si="93"/>
        <v>0</v>
      </c>
      <c r="O74" s="311">
        <f t="shared" si="93"/>
        <v>0</v>
      </c>
      <c r="P74" s="311">
        <f t="shared" si="93"/>
        <v>0</v>
      </c>
      <c r="Q74" s="311">
        <f t="shared" si="93"/>
        <v>0</v>
      </c>
      <c r="R74" s="311">
        <f t="shared" si="93"/>
        <v>0</v>
      </c>
      <c r="S74" s="311">
        <f t="shared" si="93"/>
        <v>0</v>
      </c>
      <c r="T74" s="311">
        <f t="shared" si="93"/>
        <v>0</v>
      </c>
      <c r="U74" s="311">
        <f t="shared" si="93"/>
        <v>0</v>
      </c>
      <c r="V74" s="311">
        <f t="shared" si="93"/>
        <v>0</v>
      </c>
      <c r="W74" s="311">
        <f t="shared" si="93"/>
        <v>0</v>
      </c>
      <c r="X74" s="311">
        <f t="shared" si="93"/>
        <v>0</v>
      </c>
      <c r="Y74" s="311">
        <f t="shared" si="93"/>
        <v>0</v>
      </c>
      <c r="Z74" s="311">
        <f t="shared" si="93"/>
        <v>0</v>
      </c>
      <c r="AA74" s="311">
        <f t="shared" si="93"/>
        <v>0</v>
      </c>
      <c r="AB74" s="311">
        <f t="shared" si="93"/>
        <v>0</v>
      </c>
      <c r="AC74" s="311">
        <f t="shared" si="93"/>
        <v>0</v>
      </c>
      <c r="AD74" s="311">
        <f t="shared" si="93"/>
        <v>0</v>
      </c>
      <c r="AE74" s="311">
        <f t="shared" si="93"/>
        <v>0</v>
      </c>
      <c r="AF74" s="311">
        <f t="shared" si="93"/>
        <v>0</v>
      </c>
      <c r="AG74" s="311">
        <f t="shared" si="93"/>
        <v>0</v>
      </c>
      <c r="AH74" s="311">
        <f t="shared" si="93"/>
        <v>0</v>
      </c>
      <c r="AI74" s="311">
        <f t="shared" si="93"/>
        <v>0</v>
      </c>
      <c r="AJ74" s="311">
        <f t="shared" si="93"/>
        <v>0</v>
      </c>
      <c r="AK74" s="311">
        <f t="shared" si="93"/>
        <v>0</v>
      </c>
      <c r="AL74" s="311">
        <f t="shared" si="93"/>
        <v>0</v>
      </c>
      <c r="AM74" s="311">
        <f t="shared" si="93"/>
        <v>0</v>
      </c>
      <c r="AN74" s="311">
        <f t="shared" si="93"/>
        <v>0</v>
      </c>
      <c r="AO74" s="311">
        <f t="shared" si="93"/>
        <v>0</v>
      </c>
      <c r="AP74" s="311">
        <f t="shared" si="93"/>
        <v>0</v>
      </c>
      <c r="AQ74" s="311">
        <f t="shared" si="93"/>
        <v>0</v>
      </c>
      <c r="AR74" s="311">
        <f t="shared" si="93"/>
        <v>0</v>
      </c>
      <c r="AS74" s="311">
        <f t="shared" si="93"/>
        <v>0</v>
      </c>
    </row>
    <row r="75" spans="1:45">
      <c r="A75" s="836">
        <f t="shared" si="90"/>
        <v>3</v>
      </c>
      <c r="B75" s="837">
        <f t="shared" si="91"/>
        <v>0</v>
      </c>
      <c r="C75" s="1235"/>
      <c r="D75" s="1236"/>
      <c r="E75" s="1236"/>
      <c r="F75" s="1236"/>
      <c r="G75" s="1237"/>
      <c r="H75" s="311">
        <f t="shared" si="92"/>
        <v>0</v>
      </c>
      <c r="I75" s="332"/>
      <c r="J75" s="311">
        <f t="shared" ref="J75:AS75" si="94">+J41*$B75</f>
        <v>0</v>
      </c>
      <c r="K75" s="311">
        <f t="shared" si="94"/>
        <v>0</v>
      </c>
      <c r="L75" s="311">
        <f t="shared" si="94"/>
        <v>0</v>
      </c>
      <c r="M75" s="311">
        <f t="shared" si="94"/>
        <v>0</v>
      </c>
      <c r="N75" s="311">
        <f t="shared" si="94"/>
        <v>0</v>
      </c>
      <c r="O75" s="311">
        <f t="shared" si="94"/>
        <v>0</v>
      </c>
      <c r="P75" s="311">
        <f t="shared" si="94"/>
        <v>0</v>
      </c>
      <c r="Q75" s="311">
        <f t="shared" si="94"/>
        <v>0</v>
      </c>
      <c r="R75" s="311">
        <f t="shared" si="94"/>
        <v>0</v>
      </c>
      <c r="S75" s="311">
        <f t="shared" si="94"/>
        <v>0</v>
      </c>
      <c r="T75" s="311">
        <f t="shared" si="94"/>
        <v>0</v>
      </c>
      <c r="U75" s="311">
        <f t="shared" si="94"/>
        <v>0</v>
      </c>
      <c r="V75" s="311">
        <f t="shared" si="94"/>
        <v>0</v>
      </c>
      <c r="W75" s="311">
        <f t="shared" si="94"/>
        <v>0</v>
      </c>
      <c r="X75" s="311">
        <f t="shared" si="94"/>
        <v>0</v>
      </c>
      <c r="Y75" s="311">
        <f t="shared" si="94"/>
        <v>0</v>
      </c>
      <c r="Z75" s="311">
        <f t="shared" si="94"/>
        <v>0</v>
      </c>
      <c r="AA75" s="311">
        <f t="shared" si="94"/>
        <v>0</v>
      </c>
      <c r="AB75" s="311">
        <f t="shared" si="94"/>
        <v>0</v>
      </c>
      <c r="AC75" s="311">
        <f t="shared" si="94"/>
        <v>0</v>
      </c>
      <c r="AD75" s="311">
        <f t="shared" si="94"/>
        <v>0</v>
      </c>
      <c r="AE75" s="311">
        <f t="shared" si="94"/>
        <v>0</v>
      </c>
      <c r="AF75" s="311">
        <f t="shared" si="94"/>
        <v>0</v>
      </c>
      <c r="AG75" s="311">
        <f t="shared" si="94"/>
        <v>0</v>
      </c>
      <c r="AH75" s="311">
        <f t="shared" si="94"/>
        <v>0</v>
      </c>
      <c r="AI75" s="311">
        <f t="shared" si="94"/>
        <v>0</v>
      </c>
      <c r="AJ75" s="311">
        <f t="shared" si="94"/>
        <v>0</v>
      </c>
      <c r="AK75" s="311">
        <f t="shared" si="94"/>
        <v>0</v>
      </c>
      <c r="AL75" s="311">
        <f t="shared" si="94"/>
        <v>0</v>
      </c>
      <c r="AM75" s="311">
        <f t="shared" si="94"/>
        <v>0</v>
      </c>
      <c r="AN75" s="311">
        <f t="shared" si="94"/>
        <v>0</v>
      </c>
      <c r="AO75" s="311">
        <f t="shared" si="94"/>
        <v>0</v>
      </c>
      <c r="AP75" s="311">
        <f t="shared" si="94"/>
        <v>0</v>
      </c>
      <c r="AQ75" s="311">
        <f t="shared" si="94"/>
        <v>0</v>
      </c>
      <c r="AR75" s="311">
        <f t="shared" si="94"/>
        <v>0</v>
      </c>
      <c r="AS75" s="311">
        <f t="shared" si="94"/>
        <v>0</v>
      </c>
    </row>
    <row r="76" spans="1:45">
      <c r="A76" s="836">
        <f t="shared" si="90"/>
        <v>4</v>
      </c>
      <c r="B76" s="837">
        <f t="shared" si="91"/>
        <v>0</v>
      </c>
      <c r="C76" s="1235"/>
      <c r="D76" s="1236"/>
      <c r="E76" s="1236"/>
      <c r="F76" s="1236"/>
      <c r="G76" s="1237"/>
      <c r="H76" s="311">
        <f>SUM(J76:U76)</f>
        <v>0</v>
      </c>
      <c r="I76" s="332"/>
      <c r="J76" s="311">
        <f>+J42*$B76</f>
        <v>0</v>
      </c>
      <c r="K76" s="311">
        <f t="shared" ref="K76:AS76" si="95">+K42*$B76</f>
        <v>0</v>
      </c>
      <c r="L76" s="311">
        <f t="shared" si="95"/>
        <v>0</v>
      </c>
      <c r="M76" s="311">
        <f t="shared" si="95"/>
        <v>0</v>
      </c>
      <c r="N76" s="311">
        <f t="shared" si="95"/>
        <v>0</v>
      </c>
      <c r="O76" s="311">
        <f t="shared" si="95"/>
        <v>0</v>
      </c>
      <c r="P76" s="311">
        <f t="shared" si="95"/>
        <v>0</v>
      </c>
      <c r="Q76" s="311">
        <f t="shared" si="95"/>
        <v>0</v>
      </c>
      <c r="R76" s="311">
        <f t="shared" si="95"/>
        <v>0</v>
      </c>
      <c r="S76" s="311">
        <f t="shared" si="95"/>
        <v>0</v>
      </c>
      <c r="T76" s="311">
        <f t="shared" si="95"/>
        <v>0</v>
      </c>
      <c r="U76" s="311">
        <f t="shared" si="95"/>
        <v>0</v>
      </c>
      <c r="V76" s="311">
        <f t="shared" si="95"/>
        <v>0</v>
      </c>
      <c r="W76" s="311">
        <f t="shared" si="95"/>
        <v>0</v>
      </c>
      <c r="X76" s="311">
        <f t="shared" si="95"/>
        <v>0</v>
      </c>
      <c r="Y76" s="311">
        <f t="shared" si="95"/>
        <v>0</v>
      </c>
      <c r="Z76" s="311">
        <f t="shared" si="95"/>
        <v>0</v>
      </c>
      <c r="AA76" s="311">
        <f t="shared" si="95"/>
        <v>0</v>
      </c>
      <c r="AB76" s="311">
        <f t="shared" si="95"/>
        <v>0</v>
      </c>
      <c r="AC76" s="311">
        <f t="shared" si="95"/>
        <v>0</v>
      </c>
      <c r="AD76" s="311">
        <f t="shared" si="95"/>
        <v>0</v>
      </c>
      <c r="AE76" s="311">
        <f t="shared" si="95"/>
        <v>0</v>
      </c>
      <c r="AF76" s="311">
        <f t="shared" si="95"/>
        <v>0</v>
      </c>
      <c r="AG76" s="311">
        <f t="shared" si="95"/>
        <v>0</v>
      </c>
      <c r="AH76" s="311">
        <f t="shared" si="95"/>
        <v>0</v>
      </c>
      <c r="AI76" s="311">
        <f t="shared" si="95"/>
        <v>0</v>
      </c>
      <c r="AJ76" s="311">
        <f t="shared" si="95"/>
        <v>0</v>
      </c>
      <c r="AK76" s="311">
        <f t="shared" si="95"/>
        <v>0</v>
      </c>
      <c r="AL76" s="311">
        <f t="shared" si="95"/>
        <v>0</v>
      </c>
      <c r="AM76" s="311">
        <f t="shared" si="95"/>
        <v>0</v>
      </c>
      <c r="AN76" s="311">
        <f t="shared" si="95"/>
        <v>0</v>
      </c>
      <c r="AO76" s="311">
        <f t="shared" si="95"/>
        <v>0</v>
      </c>
      <c r="AP76" s="311">
        <f t="shared" si="95"/>
        <v>0</v>
      </c>
      <c r="AQ76" s="311">
        <f t="shared" si="95"/>
        <v>0</v>
      </c>
      <c r="AR76" s="311">
        <f t="shared" si="95"/>
        <v>0</v>
      </c>
      <c r="AS76" s="311">
        <f t="shared" si="95"/>
        <v>0</v>
      </c>
    </row>
    <row r="77" spans="1:45">
      <c r="A77" s="836">
        <f t="shared" si="90"/>
        <v>5</v>
      </c>
      <c r="B77" s="837">
        <f t="shared" si="91"/>
        <v>0</v>
      </c>
      <c r="C77" s="1235"/>
      <c r="D77" s="1236"/>
      <c r="E77" s="1236"/>
      <c r="F77" s="1236"/>
      <c r="G77" s="1237"/>
      <c r="H77" s="311">
        <f t="shared" si="92"/>
        <v>0</v>
      </c>
      <c r="I77" s="332"/>
      <c r="J77" s="311">
        <f t="shared" ref="J77:AS77" si="96">+J43*$B77</f>
        <v>0</v>
      </c>
      <c r="K77" s="311">
        <f t="shared" si="96"/>
        <v>0</v>
      </c>
      <c r="L77" s="311">
        <f t="shared" si="96"/>
        <v>0</v>
      </c>
      <c r="M77" s="311">
        <f t="shared" si="96"/>
        <v>0</v>
      </c>
      <c r="N77" s="311">
        <f t="shared" si="96"/>
        <v>0</v>
      </c>
      <c r="O77" s="311">
        <f t="shared" si="96"/>
        <v>0</v>
      </c>
      <c r="P77" s="311">
        <f t="shared" si="96"/>
        <v>0</v>
      </c>
      <c r="Q77" s="311">
        <f t="shared" si="96"/>
        <v>0</v>
      </c>
      <c r="R77" s="311">
        <f t="shared" si="96"/>
        <v>0</v>
      </c>
      <c r="S77" s="311">
        <f t="shared" si="96"/>
        <v>0</v>
      </c>
      <c r="T77" s="311">
        <f t="shared" si="96"/>
        <v>0</v>
      </c>
      <c r="U77" s="311">
        <f t="shared" si="96"/>
        <v>0</v>
      </c>
      <c r="V77" s="311">
        <f t="shared" si="96"/>
        <v>0</v>
      </c>
      <c r="W77" s="311">
        <f t="shared" si="96"/>
        <v>0</v>
      </c>
      <c r="X77" s="311">
        <f t="shared" si="96"/>
        <v>0</v>
      </c>
      <c r="Y77" s="311">
        <f t="shared" si="96"/>
        <v>0</v>
      </c>
      <c r="Z77" s="311">
        <f t="shared" si="96"/>
        <v>0</v>
      </c>
      <c r="AA77" s="311">
        <f t="shared" si="96"/>
        <v>0</v>
      </c>
      <c r="AB77" s="311">
        <f t="shared" si="96"/>
        <v>0</v>
      </c>
      <c r="AC77" s="311">
        <f t="shared" si="96"/>
        <v>0</v>
      </c>
      <c r="AD77" s="311">
        <f t="shared" si="96"/>
        <v>0</v>
      </c>
      <c r="AE77" s="311">
        <f t="shared" si="96"/>
        <v>0</v>
      </c>
      <c r="AF77" s="311">
        <f t="shared" si="96"/>
        <v>0</v>
      </c>
      <c r="AG77" s="311">
        <f t="shared" si="96"/>
        <v>0</v>
      </c>
      <c r="AH77" s="311">
        <f t="shared" si="96"/>
        <v>0</v>
      </c>
      <c r="AI77" s="311">
        <f t="shared" si="96"/>
        <v>0</v>
      </c>
      <c r="AJ77" s="311">
        <f t="shared" si="96"/>
        <v>0</v>
      </c>
      <c r="AK77" s="311">
        <f t="shared" si="96"/>
        <v>0</v>
      </c>
      <c r="AL77" s="311">
        <f t="shared" si="96"/>
        <v>0</v>
      </c>
      <c r="AM77" s="311">
        <f t="shared" si="96"/>
        <v>0</v>
      </c>
      <c r="AN77" s="311">
        <f t="shared" si="96"/>
        <v>0</v>
      </c>
      <c r="AO77" s="311">
        <f t="shared" si="96"/>
        <v>0</v>
      </c>
      <c r="AP77" s="311">
        <f t="shared" si="96"/>
        <v>0</v>
      </c>
      <c r="AQ77" s="311">
        <f t="shared" si="96"/>
        <v>0</v>
      </c>
      <c r="AR77" s="311">
        <f t="shared" si="96"/>
        <v>0</v>
      </c>
      <c r="AS77" s="311">
        <f t="shared" si="96"/>
        <v>0</v>
      </c>
    </row>
    <row r="78" spans="1:45">
      <c r="A78" s="836">
        <f t="shared" si="90"/>
        <v>6</v>
      </c>
      <c r="B78" s="837">
        <f t="shared" si="91"/>
        <v>0</v>
      </c>
      <c r="C78" s="1235"/>
      <c r="D78" s="1236"/>
      <c r="E78" s="1236"/>
      <c r="F78" s="1236"/>
      <c r="G78" s="1237"/>
      <c r="H78" s="311">
        <f t="shared" si="92"/>
        <v>0</v>
      </c>
      <c r="I78" s="332"/>
      <c r="J78" s="311">
        <f t="shared" ref="J78:AS78" si="97">+J44*$B78</f>
        <v>0</v>
      </c>
      <c r="K78" s="311">
        <f t="shared" si="97"/>
        <v>0</v>
      </c>
      <c r="L78" s="311">
        <f t="shared" si="97"/>
        <v>0</v>
      </c>
      <c r="M78" s="311">
        <f t="shared" si="97"/>
        <v>0</v>
      </c>
      <c r="N78" s="311">
        <f t="shared" si="97"/>
        <v>0</v>
      </c>
      <c r="O78" s="311">
        <f t="shared" si="97"/>
        <v>0</v>
      </c>
      <c r="P78" s="311">
        <f t="shared" si="97"/>
        <v>0</v>
      </c>
      <c r="Q78" s="311">
        <f t="shared" si="97"/>
        <v>0</v>
      </c>
      <c r="R78" s="311">
        <f t="shared" si="97"/>
        <v>0</v>
      </c>
      <c r="S78" s="311">
        <f t="shared" si="97"/>
        <v>0</v>
      </c>
      <c r="T78" s="311">
        <f t="shared" si="97"/>
        <v>0</v>
      </c>
      <c r="U78" s="311">
        <f t="shared" si="97"/>
        <v>0</v>
      </c>
      <c r="V78" s="311">
        <f t="shared" si="97"/>
        <v>0</v>
      </c>
      <c r="W78" s="311">
        <f t="shared" si="97"/>
        <v>0</v>
      </c>
      <c r="X78" s="311">
        <f t="shared" si="97"/>
        <v>0</v>
      </c>
      <c r="Y78" s="311">
        <f t="shared" si="97"/>
        <v>0</v>
      </c>
      <c r="Z78" s="311">
        <f t="shared" si="97"/>
        <v>0</v>
      </c>
      <c r="AA78" s="311">
        <f t="shared" si="97"/>
        <v>0</v>
      </c>
      <c r="AB78" s="311">
        <f t="shared" si="97"/>
        <v>0</v>
      </c>
      <c r="AC78" s="311">
        <f t="shared" si="97"/>
        <v>0</v>
      </c>
      <c r="AD78" s="311">
        <f t="shared" si="97"/>
        <v>0</v>
      </c>
      <c r="AE78" s="311">
        <f t="shared" si="97"/>
        <v>0</v>
      </c>
      <c r="AF78" s="311">
        <f t="shared" si="97"/>
        <v>0</v>
      </c>
      <c r="AG78" s="311">
        <f t="shared" si="97"/>
        <v>0</v>
      </c>
      <c r="AH78" s="311">
        <f t="shared" si="97"/>
        <v>0</v>
      </c>
      <c r="AI78" s="311">
        <f t="shared" si="97"/>
        <v>0</v>
      </c>
      <c r="AJ78" s="311">
        <f t="shared" si="97"/>
        <v>0</v>
      </c>
      <c r="AK78" s="311">
        <f t="shared" si="97"/>
        <v>0</v>
      </c>
      <c r="AL78" s="311">
        <f t="shared" si="97"/>
        <v>0</v>
      </c>
      <c r="AM78" s="311">
        <f t="shared" si="97"/>
        <v>0</v>
      </c>
      <c r="AN78" s="311">
        <f t="shared" si="97"/>
        <v>0</v>
      </c>
      <c r="AO78" s="311">
        <f t="shared" si="97"/>
        <v>0</v>
      </c>
      <c r="AP78" s="311">
        <f t="shared" si="97"/>
        <v>0</v>
      </c>
      <c r="AQ78" s="311">
        <f t="shared" si="97"/>
        <v>0</v>
      </c>
      <c r="AR78" s="311">
        <f t="shared" si="97"/>
        <v>0</v>
      </c>
      <c r="AS78" s="311">
        <f t="shared" si="97"/>
        <v>0</v>
      </c>
    </row>
    <row r="79" spans="1:45">
      <c r="A79" s="836">
        <f t="shared" si="90"/>
        <v>7</v>
      </c>
      <c r="B79" s="837">
        <f t="shared" si="91"/>
        <v>0</v>
      </c>
      <c r="C79" s="1235"/>
      <c r="D79" s="1236"/>
      <c r="E79" s="1236"/>
      <c r="F79" s="1236"/>
      <c r="G79" s="1237"/>
      <c r="H79" s="311">
        <f t="shared" si="92"/>
        <v>0</v>
      </c>
      <c r="I79" s="332"/>
      <c r="J79" s="311">
        <f t="shared" ref="J79:AS79" si="98">+J45*$B79</f>
        <v>0</v>
      </c>
      <c r="K79" s="311">
        <f t="shared" si="98"/>
        <v>0</v>
      </c>
      <c r="L79" s="311">
        <f t="shared" si="98"/>
        <v>0</v>
      </c>
      <c r="M79" s="311">
        <f t="shared" si="98"/>
        <v>0</v>
      </c>
      <c r="N79" s="311">
        <f t="shared" si="98"/>
        <v>0</v>
      </c>
      <c r="O79" s="311">
        <f t="shared" si="98"/>
        <v>0</v>
      </c>
      <c r="P79" s="311">
        <f t="shared" si="98"/>
        <v>0</v>
      </c>
      <c r="Q79" s="311">
        <f t="shared" si="98"/>
        <v>0</v>
      </c>
      <c r="R79" s="311">
        <f t="shared" si="98"/>
        <v>0</v>
      </c>
      <c r="S79" s="311">
        <f t="shared" si="98"/>
        <v>0</v>
      </c>
      <c r="T79" s="311">
        <f t="shared" si="98"/>
        <v>0</v>
      </c>
      <c r="U79" s="311">
        <f t="shared" si="98"/>
        <v>0</v>
      </c>
      <c r="V79" s="311">
        <f t="shared" si="98"/>
        <v>0</v>
      </c>
      <c r="W79" s="311">
        <f t="shared" si="98"/>
        <v>0</v>
      </c>
      <c r="X79" s="311">
        <f t="shared" si="98"/>
        <v>0</v>
      </c>
      <c r="Y79" s="311">
        <f t="shared" si="98"/>
        <v>0</v>
      </c>
      <c r="Z79" s="311">
        <f t="shared" si="98"/>
        <v>0</v>
      </c>
      <c r="AA79" s="311">
        <f t="shared" si="98"/>
        <v>0</v>
      </c>
      <c r="AB79" s="311">
        <f t="shared" si="98"/>
        <v>0</v>
      </c>
      <c r="AC79" s="311">
        <f t="shared" si="98"/>
        <v>0</v>
      </c>
      <c r="AD79" s="311">
        <f t="shared" si="98"/>
        <v>0</v>
      </c>
      <c r="AE79" s="311">
        <f t="shared" si="98"/>
        <v>0</v>
      </c>
      <c r="AF79" s="311">
        <f t="shared" si="98"/>
        <v>0</v>
      </c>
      <c r="AG79" s="311">
        <f t="shared" si="98"/>
        <v>0</v>
      </c>
      <c r="AH79" s="311">
        <f t="shared" si="98"/>
        <v>0</v>
      </c>
      <c r="AI79" s="311">
        <f t="shared" si="98"/>
        <v>0</v>
      </c>
      <c r="AJ79" s="311">
        <f t="shared" si="98"/>
        <v>0</v>
      </c>
      <c r="AK79" s="311">
        <f t="shared" si="98"/>
        <v>0</v>
      </c>
      <c r="AL79" s="311">
        <f t="shared" si="98"/>
        <v>0</v>
      </c>
      <c r="AM79" s="311">
        <f t="shared" si="98"/>
        <v>0</v>
      </c>
      <c r="AN79" s="311">
        <f t="shared" si="98"/>
        <v>0</v>
      </c>
      <c r="AO79" s="311">
        <f t="shared" si="98"/>
        <v>0</v>
      </c>
      <c r="AP79" s="311">
        <f t="shared" si="98"/>
        <v>0</v>
      </c>
      <c r="AQ79" s="311">
        <f t="shared" si="98"/>
        <v>0</v>
      </c>
      <c r="AR79" s="311">
        <f t="shared" si="98"/>
        <v>0</v>
      </c>
      <c r="AS79" s="311">
        <f t="shared" si="98"/>
        <v>0</v>
      </c>
    </row>
    <row r="80" spans="1:45">
      <c r="A80" s="836">
        <f t="shared" si="90"/>
        <v>8</v>
      </c>
      <c r="B80" s="837">
        <f t="shared" si="91"/>
        <v>0</v>
      </c>
      <c r="C80" s="1235"/>
      <c r="D80" s="1236"/>
      <c r="E80" s="1236"/>
      <c r="F80" s="1236"/>
      <c r="G80" s="1237"/>
      <c r="H80" s="311">
        <f t="shared" si="92"/>
        <v>0</v>
      </c>
      <c r="I80" s="332"/>
      <c r="J80" s="311">
        <f t="shared" ref="J80:AS80" si="99">+J46*$B80</f>
        <v>0</v>
      </c>
      <c r="K80" s="311">
        <f t="shared" si="99"/>
        <v>0</v>
      </c>
      <c r="L80" s="311">
        <f t="shared" si="99"/>
        <v>0</v>
      </c>
      <c r="M80" s="311">
        <f t="shared" si="99"/>
        <v>0</v>
      </c>
      <c r="N80" s="311">
        <f t="shared" si="99"/>
        <v>0</v>
      </c>
      <c r="O80" s="311">
        <f t="shared" si="99"/>
        <v>0</v>
      </c>
      <c r="P80" s="311">
        <f t="shared" si="99"/>
        <v>0</v>
      </c>
      <c r="Q80" s="311">
        <f t="shared" si="99"/>
        <v>0</v>
      </c>
      <c r="R80" s="311">
        <f t="shared" si="99"/>
        <v>0</v>
      </c>
      <c r="S80" s="311">
        <f t="shared" si="99"/>
        <v>0</v>
      </c>
      <c r="T80" s="311">
        <f t="shared" si="99"/>
        <v>0</v>
      </c>
      <c r="U80" s="311">
        <f t="shared" si="99"/>
        <v>0</v>
      </c>
      <c r="V80" s="311">
        <f t="shared" si="99"/>
        <v>0</v>
      </c>
      <c r="W80" s="311">
        <f t="shared" si="99"/>
        <v>0</v>
      </c>
      <c r="X80" s="311">
        <f t="shared" si="99"/>
        <v>0</v>
      </c>
      <c r="Y80" s="311">
        <f t="shared" si="99"/>
        <v>0</v>
      </c>
      <c r="Z80" s="311">
        <f t="shared" si="99"/>
        <v>0</v>
      </c>
      <c r="AA80" s="311">
        <f t="shared" si="99"/>
        <v>0</v>
      </c>
      <c r="AB80" s="311">
        <f t="shared" si="99"/>
        <v>0</v>
      </c>
      <c r="AC80" s="311">
        <f t="shared" si="99"/>
        <v>0</v>
      </c>
      <c r="AD80" s="311">
        <f t="shared" si="99"/>
        <v>0</v>
      </c>
      <c r="AE80" s="311">
        <f t="shared" si="99"/>
        <v>0</v>
      </c>
      <c r="AF80" s="311">
        <f t="shared" si="99"/>
        <v>0</v>
      </c>
      <c r="AG80" s="311">
        <f t="shared" si="99"/>
        <v>0</v>
      </c>
      <c r="AH80" s="311">
        <f t="shared" si="99"/>
        <v>0</v>
      </c>
      <c r="AI80" s="311">
        <f t="shared" si="99"/>
        <v>0</v>
      </c>
      <c r="AJ80" s="311">
        <f t="shared" si="99"/>
        <v>0</v>
      </c>
      <c r="AK80" s="311">
        <f t="shared" si="99"/>
        <v>0</v>
      </c>
      <c r="AL80" s="311">
        <f t="shared" si="99"/>
        <v>0</v>
      </c>
      <c r="AM80" s="311">
        <f t="shared" si="99"/>
        <v>0</v>
      </c>
      <c r="AN80" s="311">
        <f t="shared" si="99"/>
        <v>0</v>
      </c>
      <c r="AO80" s="311">
        <f t="shared" si="99"/>
        <v>0</v>
      </c>
      <c r="AP80" s="311">
        <f t="shared" si="99"/>
        <v>0</v>
      </c>
      <c r="AQ80" s="311">
        <f t="shared" si="99"/>
        <v>0</v>
      </c>
      <c r="AR80" s="311">
        <f t="shared" si="99"/>
        <v>0</v>
      </c>
      <c r="AS80" s="311">
        <f t="shared" si="99"/>
        <v>0</v>
      </c>
    </row>
    <row r="81" spans="1:45">
      <c r="A81" s="836">
        <f t="shared" si="90"/>
        <v>9</v>
      </c>
      <c r="B81" s="837">
        <f t="shared" si="91"/>
        <v>0</v>
      </c>
      <c r="C81" s="1235"/>
      <c r="D81" s="1236"/>
      <c r="E81" s="1236"/>
      <c r="F81" s="1236"/>
      <c r="G81" s="1237"/>
      <c r="H81" s="311">
        <f t="shared" si="92"/>
        <v>0</v>
      </c>
      <c r="I81" s="332"/>
      <c r="J81" s="311">
        <f t="shared" ref="J81:AS81" si="100">+J47*$B81</f>
        <v>0</v>
      </c>
      <c r="K81" s="311">
        <f t="shared" si="100"/>
        <v>0</v>
      </c>
      <c r="L81" s="311">
        <f t="shared" si="100"/>
        <v>0</v>
      </c>
      <c r="M81" s="311">
        <f t="shared" si="100"/>
        <v>0</v>
      </c>
      <c r="N81" s="311">
        <f t="shared" si="100"/>
        <v>0</v>
      </c>
      <c r="O81" s="311">
        <f t="shared" si="100"/>
        <v>0</v>
      </c>
      <c r="P81" s="311">
        <f t="shared" si="100"/>
        <v>0</v>
      </c>
      <c r="Q81" s="311">
        <f t="shared" si="100"/>
        <v>0</v>
      </c>
      <c r="R81" s="311">
        <f t="shared" si="100"/>
        <v>0</v>
      </c>
      <c r="S81" s="311">
        <f t="shared" si="100"/>
        <v>0</v>
      </c>
      <c r="T81" s="311">
        <f t="shared" si="100"/>
        <v>0</v>
      </c>
      <c r="U81" s="311">
        <f t="shared" si="100"/>
        <v>0</v>
      </c>
      <c r="V81" s="311">
        <f t="shared" si="100"/>
        <v>0</v>
      </c>
      <c r="W81" s="311">
        <f t="shared" si="100"/>
        <v>0</v>
      </c>
      <c r="X81" s="311">
        <f t="shared" si="100"/>
        <v>0</v>
      </c>
      <c r="Y81" s="311">
        <f t="shared" si="100"/>
        <v>0</v>
      </c>
      <c r="Z81" s="311">
        <f t="shared" si="100"/>
        <v>0</v>
      </c>
      <c r="AA81" s="311">
        <f t="shared" si="100"/>
        <v>0</v>
      </c>
      <c r="AB81" s="311">
        <f t="shared" si="100"/>
        <v>0</v>
      </c>
      <c r="AC81" s="311">
        <f t="shared" si="100"/>
        <v>0</v>
      </c>
      <c r="AD81" s="311">
        <f t="shared" si="100"/>
        <v>0</v>
      </c>
      <c r="AE81" s="311">
        <f t="shared" si="100"/>
        <v>0</v>
      </c>
      <c r="AF81" s="311">
        <f t="shared" si="100"/>
        <v>0</v>
      </c>
      <c r="AG81" s="311">
        <f t="shared" si="100"/>
        <v>0</v>
      </c>
      <c r="AH81" s="311">
        <f t="shared" si="100"/>
        <v>0</v>
      </c>
      <c r="AI81" s="311">
        <f t="shared" si="100"/>
        <v>0</v>
      </c>
      <c r="AJ81" s="311">
        <f t="shared" si="100"/>
        <v>0</v>
      </c>
      <c r="AK81" s="311">
        <f t="shared" si="100"/>
        <v>0</v>
      </c>
      <c r="AL81" s="311">
        <f t="shared" si="100"/>
        <v>0</v>
      </c>
      <c r="AM81" s="311">
        <f t="shared" si="100"/>
        <v>0</v>
      </c>
      <c r="AN81" s="311">
        <f t="shared" si="100"/>
        <v>0</v>
      </c>
      <c r="AO81" s="311">
        <f t="shared" si="100"/>
        <v>0</v>
      </c>
      <c r="AP81" s="311">
        <f t="shared" si="100"/>
        <v>0</v>
      </c>
      <c r="AQ81" s="311">
        <f t="shared" si="100"/>
        <v>0</v>
      </c>
      <c r="AR81" s="311">
        <f t="shared" si="100"/>
        <v>0</v>
      </c>
      <c r="AS81" s="311">
        <f t="shared" si="100"/>
        <v>0</v>
      </c>
    </row>
    <row r="82" spans="1:45">
      <c r="A82" s="836">
        <f t="shared" si="90"/>
        <v>10</v>
      </c>
      <c r="B82" s="837">
        <f t="shared" si="91"/>
        <v>0</v>
      </c>
      <c r="C82" s="1235"/>
      <c r="D82" s="1236"/>
      <c r="E82" s="1236"/>
      <c r="F82" s="1236"/>
      <c r="G82" s="1237"/>
      <c r="H82" s="311">
        <f t="shared" si="92"/>
        <v>0</v>
      </c>
      <c r="I82" s="332"/>
      <c r="J82" s="311">
        <f t="shared" ref="J82:AS82" si="101">+J48*$B82</f>
        <v>0</v>
      </c>
      <c r="K82" s="311">
        <f t="shared" si="101"/>
        <v>0</v>
      </c>
      <c r="L82" s="311">
        <f t="shared" si="101"/>
        <v>0</v>
      </c>
      <c r="M82" s="311">
        <f t="shared" si="101"/>
        <v>0</v>
      </c>
      <c r="N82" s="311">
        <f t="shared" si="101"/>
        <v>0</v>
      </c>
      <c r="O82" s="311">
        <f t="shared" si="101"/>
        <v>0</v>
      </c>
      <c r="P82" s="311">
        <f t="shared" si="101"/>
        <v>0</v>
      </c>
      <c r="Q82" s="311">
        <f t="shared" si="101"/>
        <v>0</v>
      </c>
      <c r="R82" s="311">
        <f t="shared" si="101"/>
        <v>0</v>
      </c>
      <c r="S82" s="311">
        <f t="shared" si="101"/>
        <v>0</v>
      </c>
      <c r="T82" s="311">
        <f t="shared" si="101"/>
        <v>0</v>
      </c>
      <c r="U82" s="311">
        <f t="shared" si="101"/>
        <v>0</v>
      </c>
      <c r="V82" s="311">
        <f t="shared" si="101"/>
        <v>0</v>
      </c>
      <c r="W82" s="311">
        <f t="shared" si="101"/>
        <v>0</v>
      </c>
      <c r="X82" s="311">
        <f t="shared" si="101"/>
        <v>0</v>
      </c>
      <c r="Y82" s="311">
        <f t="shared" si="101"/>
        <v>0</v>
      </c>
      <c r="Z82" s="311">
        <f t="shared" si="101"/>
        <v>0</v>
      </c>
      <c r="AA82" s="311">
        <f t="shared" si="101"/>
        <v>0</v>
      </c>
      <c r="AB82" s="311">
        <f t="shared" si="101"/>
        <v>0</v>
      </c>
      <c r="AC82" s="311">
        <f t="shared" si="101"/>
        <v>0</v>
      </c>
      <c r="AD82" s="311">
        <f t="shared" si="101"/>
        <v>0</v>
      </c>
      <c r="AE82" s="311">
        <f t="shared" si="101"/>
        <v>0</v>
      </c>
      <c r="AF82" s="311">
        <f t="shared" si="101"/>
        <v>0</v>
      </c>
      <c r="AG82" s="311">
        <f t="shared" si="101"/>
        <v>0</v>
      </c>
      <c r="AH82" s="311">
        <f t="shared" si="101"/>
        <v>0</v>
      </c>
      <c r="AI82" s="311">
        <f t="shared" si="101"/>
        <v>0</v>
      </c>
      <c r="AJ82" s="311">
        <f t="shared" si="101"/>
        <v>0</v>
      </c>
      <c r="AK82" s="311">
        <f t="shared" si="101"/>
        <v>0</v>
      </c>
      <c r="AL82" s="311">
        <f t="shared" si="101"/>
        <v>0</v>
      </c>
      <c r="AM82" s="311">
        <f t="shared" si="101"/>
        <v>0</v>
      </c>
      <c r="AN82" s="311">
        <f t="shared" si="101"/>
        <v>0</v>
      </c>
      <c r="AO82" s="311">
        <f t="shared" si="101"/>
        <v>0</v>
      </c>
      <c r="AP82" s="311">
        <f t="shared" si="101"/>
        <v>0</v>
      </c>
      <c r="AQ82" s="311">
        <f t="shared" si="101"/>
        <v>0</v>
      </c>
      <c r="AR82" s="311">
        <f t="shared" si="101"/>
        <v>0</v>
      </c>
      <c r="AS82" s="311">
        <f t="shared" si="101"/>
        <v>0</v>
      </c>
    </row>
    <row r="83" spans="1:45" hidden="1" outlineLevel="1">
      <c r="A83" s="836">
        <f t="shared" si="90"/>
        <v>11</v>
      </c>
      <c r="B83" s="837">
        <f t="shared" si="91"/>
        <v>0</v>
      </c>
      <c r="C83" s="1235"/>
      <c r="D83" s="1236"/>
      <c r="E83" s="1236"/>
      <c r="F83" s="1236"/>
      <c r="G83" s="1237"/>
      <c r="H83" s="311">
        <f t="shared" si="92"/>
        <v>0</v>
      </c>
      <c r="I83" s="332"/>
      <c r="J83" s="311">
        <f t="shared" ref="J83:AS83" si="102">+J49*$B83</f>
        <v>0</v>
      </c>
      <c r="K83" s="311">
        <f t="shared" si="102"/>
        <v>0</v>
      </c>
      <c r="L83" s="311">
        <f t="shared" si="102"/>
        <v>0</v>
      </c>
      <c r="M83" s="311">
        <f t="shared" si="102"/>
        <v>0</v>
      </c>
      <c r="N83" s="311">
        <f t="shared" si="102"/>
        <v>0</v>
      </c>
      <c r="O83" s="311">
        <f t="shared" si="102"/>
        <v>0</v>
      </c>
      <c r="P83" s="311">
        <f t="shared" si="102"/>
        <v>0</v>
      </c>
      <c r="Q83" s="311">
        <f t="shared" si="102"/>
        <v>0</v>
      </c>
      <c r="R83" s="311">
        <f t="shared" si="102"/>
        <v>0</v>
      </c>
      <c r="S83" s="311">
        <f t="shared" si="102"/>
        <v>0</v>
      </c>
      <c r="T83" s="311">
        <f t="shared" si="102"/>
        <v>0</v>
      </c>
      <c r="U83" s="311">
        <f t="shared" si="102"/>
        <v>0</v>
      </c>
      <c r="V83" s="311">
        <f t="shared" si="102"/>
        <v>0</v>
      </c>
      <c r="W83" s="311">
        <f t="shared" si="102"/>
        <v>0</v>
      </c>
      <c r="X83" s="311">
        <f t="shared" si="102"/>
        <v>0</v>
      </c>
      <c r="Y83" s="311">
        <f t="shared" si="102"/>
        <v>0</v>
      </c>
      <c r="Z83" s="311">
        <f t="shared" si="102"/>
        <v>0</v>
      </c>
      <c r="AA83" s="311">
        <f t="shared" si="102"/>
        <v>0</v>
      </c>
      <c r="AB83" s="311">
        <f t="shared" si="102"/>
        <v>0</v>
      </c>
      <c r="AC83" s="311">
        <f t="shared" si="102"/>
        <v>0</v>
      </c>
      <c r="AD83" s="311">
        <f t="shared" si="102"/>
        <v>0</v>
      </c>
      <c r="AE83" s="311">
        <f t="shared" si="102"/>
        <v>0</v>
      </c>
      <c r="AF83" s="311">
        <f t="shared" si="102"/>
        <v>0</v>
      </c>
      <c r="AG83" s="311">
        <f t="shared" si="102"/>
        <v>0</v>
      </c>
      <c r="AH83" s="311">
        <f t="shared" si="102"/>
        <v>0</v>
      </c>
      <c r="AI83" s="311">
        <f t="shared" si="102"/>
        <v>0</v>
      </c>
      <c r="AJ83" s="311">
        <f t="shared" si="102"/>
        <v>0</v>
      </c>
      <c r="AK83" s="311">
        <f t="shared" si="102"/>
        <v>0</v>
      </c>
      <c r="AL83" s="311">
        <f t="shared" si="102"/>
        <v>0</v>
      </c>
      <c r="AM83" s="311">
        <f t="shared" si="102"/>
        <v>0</v>
      </c>
      <c r="AN83" s="311">
        <f t="shared" si="102"/>
        <v>0</v>
      </c>
      <c r="AO83" s="311">
        <f t="shared" si="102"/>
        <v>0</v>
      </c>
      <c r="AP83" s="311">
        <f t="shared" si="102"/>
        <v>0</v>
      </c>
      <c r="AQ83" s="311">
        <f t="shared" si="102"/>
        <v>0</v>
      </c>
      <c r="AR83" s="311">
        <f t="shared" si="102"/>
        <v>0</v>
      </c>
      <c r="AS83" s="311">
        <f t="shared" si="102"/>
        <v>0</v>
      </c>
    </row>
    <row r="84" spans="1:45" hidden="1" outlineLevel="1">
      <c r="A84" s="836">
        <f t="shared" si="90"/>
        <v>12</v>
      </c>
      <c r="B84" s="837">
        <f t="shared" si="91"/>
        <v>0</v>
      </c>
      <c r="C84" s="1235"/>
      <c r="D84" s="1236"/>
      <c r="E84" s="1236"/>
      <c r="F84" s="1236"/>
      <c r="G84" s="1237"/>
      <c r="H84" s="311">
        <f t="shared" si="92"/>
        <v>0</v>
      </c>
      <c r="I84" s="332"/>
      <c r="J84" s="311">
        <f t="shared" ref="J84:AS84" si="103">+J50*$B84</f>
        <v>0</v>
      </c>
      <c r="K84" s="311">
        <f t="shared" si="103"/>
        <v>0</v>
      </c>
      <c r="L84" s="311">
        <f t="shared" si="103"/>
        <v>0</v>
      </c>
      <c r="M84" s="311">
        <f t="shared" si="103"/>
        <v>0</v>
      </c>
      <c r="N84" s="311">
        <f t="shared" si="103"/>
        <v>0</v>
      </c>
      <c r="O84" s="311">
        <f t="shared" si="103"/>
        <v>0</v>
      </c>
      <c r="P84" s="311">
        <f t="shared" si="103"/>
        <v>0</v>
      </c>
      <c r="Q84" s="311">
        <f t="shared" si="103"/>
        <v>0</v>
      </c>
      <c r="R84" s="311">
        <f t="shared" si="103"/>
        <v>0</v>
      </c>
      <c r="S84" s="311">
        <f t="shared" si="103"/>
        <v>0</v>
      </c>
      <c r="T84" s="311">
        <f t="shared" si="103"/>
        <v>0</v>
      </c>
      <c r="U84" s="311">
        <f t="shared" si="103"/>
        <v>0</v>
      </c>
      <c r="V84" s="311">
        <f t="shared" si="103"/>
        <v>0</v>
      </c>
      <c r="W84" s="311">
        <f t="shared" si="103"/>
        <v>0</v>
      </c>
      <c r="X84" s="311">
        <f t="shared" si="103"/>
        <v>0</v>
      </c>
      <c r="Y84" s="311">
        <f t="shared" si="103"/>
        <v>0</v>
      </c>
      <c r="Z84" s="311">
        <f t="shared" si="103"/>
        <v>0</v>
      </c>
      <c r="AA84" s="311">
        <f t="shared" si="103"/>
        <v>0</v>
      </c>
      <c r="AB84" s="311">
        <f t="shared" si="103"/>
        <v>0</v>
      </c>
      <c r="AC84" s="311">
        <f t="shared" si="103"/>
        <v>0</v>
      </c>
      <c r="AD84" s="311">
        <f t="shared" si="103"/>
        <v>0</v>
      </c>
      <c r="AE84" s="311">
        <f t="shared" si="103"/>
        <v>0</v>
      </c>
      <c r="AF84" s="311">
        <f t="shared" si="103"/>
        <v>0</v>
      </c>
      <c r="AG84" s="311">
        <f t="shared" si="103"/>
        <v>0</v>
      </c>
      <c r="AH84" s="311">
        <f t="shared" si="103"/>
        <v>0</v>
      </c>
      <c r="AI84" s="311">
        <f t="shared" si="103"/>
        <v>0</v>
      </c>
      <c r="AJ84" s="311">
        <f t="shared" si="103"/>
        <v>0</v>
      </c>
      <c r="AK84" s="311">
        <f t="shared" si="103"/>
        <v>0</v>
      </c>
      <c r="AL84" s="311">
        <f t="shared" si="103"/>
        <v>0</v>
      </c>
      <c r="AM84" s="311">
        <f t="shared" si="103"/>
        <v>0</v>
      </c>
      <c r="AN84" s="311">
        <f t="shared" si="103"/>
        <v>0</v>
      </c>
      <c r="AO84" s="311">
        <f t="shared" si="103"/>
        <v>0</v>
      </c>
      <c r="AP84" s="311">
        <f t="shared" si="103"/>
        <v>0</v>
      </c>
      <c r="AQ84" s="311">
        <f t="shared" si="103"/>
        <v>0</v>
      </c>
      <c r="AR84" s="311">
        <f t="shared" si="103"/>
        <v>0</v>
      </c>
      <c r="AS84" s="311">
        <f t="shared" si="103"/>
        <v>0</v>
      </c>
    </row>
    <row r="85" spans="1:45" hidden="1" outlineLevel="1">
      <c r="A85" s="836">
        <f t="shared" si="90"/>
        <v>13</v>
      </c>
      <c r="B85" s="837">
        <f t="shared" si="91"/>
        <v>0</v>
      </c>
      <c r="C85" s="1235"/>
      <c r="D85" s="1236"/>
      <c r="E85" s="1236"/>
      <c r="F85" s="1236"/>
      <c r="G85" s="1237"/>
      <c r="H85" s="311">
        <f t="shared" si="92"/>
        <v>0</v>
      </c>
      <c r="I85" s="332"/>
      <c r="J85" s="311">
        <f t="shared" ref="J85:AS85" si="104">+J51*$B85</f>
        <v>0</v>
      </c>
      <c r="K85" s="311">
        <f t="shared" si="104"/>
        <v>0</v>
      </c>
      <c r="L85" s="311">
        <f t="shared" si="104"/>
        <v>0</v>
      </c>
      <c r="M85" s="311">
        <f t="shared" si="104"/>
        <v>0</v>
      </c>
      <c r="N85" s="311">
        <f t="shared" si="104"/>
        <v>0</v>
      </c>
      <c r="O85" s="311">
        <f t="shared" si="104"/>
        <v>0</v>
      </c>
      <c r="P85" s="311">
        <f t="shared" si="104"/>
        <v>0</v>
      </c>
      <c r="Q85" s="311">
        <f t="shared" si="104"/>
        <v>0</v>
      </c>
      <c r="R85" s="311">
        <f t="shared" si="104"/>
        <v>0</v>
      </c>
      <c r="S85" s="311">
        <f t="shared" si="104"/>
        <v>0</v>
      </c>
      <c r="T85" s="311">
        <f t="shared" si="104"/>
        <v>0</v>
      </c>
      <c r="U85" s="311">
        <f t="shared" si="104"/>
        <v>0</v>
      </c>
      <c r="V85" s="311">
        <f t="shared" si="104"/>
        <v>0</v>
      </c>
      <c r="W85" s="311">
        <f t="shared" si="104"/>
        <v>0</v>
      </c>
      <c r="X85" s="311">
        <f t="shared" si="104"/>
        <v>0</v>
      </c>
      <c r="Y85" s="311">
        <f t="shared" si="104"/>
        <v>0</v>
      </c>
      <c r="Z85" s="311">
        <f t="shared" si="104"/>
        <v>0</v>
      </c>
      <c r="AA85" s="311">
        <f t="shared" si="104"/>
        <v>0</v>
      </c>
      <c r="AB85" s="311">
        <f t="shared" si="104"/>
        <v>0</v>
      </c>
      <c r="AC85" s="311">
        <f t="shared" si="104"/>
        <v>0</v>
      </c>
      <c r="AD85" s="311">
        <f t="shared" si="104"/>
        <v>0</v>
      </c>
      <c r="AE85" s="311">
        <f t="shared" si="104"/>
        <v>0</v>
      </c>
      <c r="AF85" s="311">
        <f t="shared" si="104"/>
        <v>0</v>
      </c>
      <c r="AG85" s="311">
        <f t="shared" si="104"/>
        <v>0</v>
      </c>
      <c r="AH85" s="311">
        <f t="shared" si="104"/>
        <v>0</v>
      </c>
      <c r="AI85" s="311">
        <f t="shared" si="104"/>
        <v>0</v>
      </c>
      <c r="AJ85" s="311">
        <f t="shared" si="104"/>
        <v>0</v>
      </c>
      <c r="AK85" s="311">
        <f t="shared" si="104"/>
        <v>0</v>
      </c>
      <c r="AL85" s="311">
        <f t="shared" si="104"/>
        <v>0</v>
      </c>
      <c r="AM85" s="311">
        <f t="shared" si="104"/>
        <v>0</v>
      </c>
      <c r="AN85" s="311">
        <f t="shared" si="104"/>
        <v>0</v>
      </c>
      <c r="AO85" s="311">
        <f t="shared" si="104"/>
        <v>0</v>
      </c>
      <c r="AP85" s="311">
        <f t="shared" si="104"/>
        <v>0</v>
      </c>
      <c r="AQ85" s="311">
        <f t="shared" si="104"/>
        <v>0</v>
      </c>
      <c r="AR85" s="311">
        <f t="shared" si="104"/>
        <v>0</v>
      </c>
      <c r="AS85" s="311">
        <f t="shared" si="104"/>
        <v>0</v>
      </c>
    </row>
    <row r="86" spans="1:45" hidden="1" outlineLevel="1">
      <c r="A86" s="836">
        <f t="shared" si="90"/>
        <v>14</v>
      </c>
      <c r="B86" s="837">
        <f t="shared" si="91"/>
        <v>0</v>
      </c>
      <c r="C86" s="1235"/>
      <c r="D86" s="1236"/>
      <c r="E86" s="1236"/>
      <c r="F86" s="1236"/>
      <c r="G86" s="1237"/>
      <c r="H86" s="311">
        <f t="shared" si="92"/>
        <v>0</v>
      </c>
      <c r="I86" s="332"/>
      <c r="J86" s="311">
        <f t="shared" ref="J86:AS86" si="105">+J52*$B86</f>
        <v>0</v>
      </c>
      <c r="K86" s="311">
        <f t="shared" si="105"/>
        <v>0</v>
      </c>
      <c r="L86" s="311">
        <f t="shared" si="105"/>
        <v>0</v>
      </c>
      <c r="M86" s="311">
        <f t="shared" si="105"/>
        <v>0</v>
      </c>
      <c r="N86" s="311">
        <f t="shared" si="105"/>
        <v>0</v>
      </c>
      <c r="O86" s="311">
        <f t="shared" si="105"/>
        <v>0</v>
      </c>
      <c r="P86" s="311">
        <f t="shared" si="105"/>
        <v>0</v>
      </c>
      <c r="Q86" s="311">
        <f t="shared" si="105"/>
        <v>0</v>
      </c>
      <c r="R86" s="311">
        <f t="shared" si="105"/>
        <v>0</v>
      </c>
      <c r="S86" s="311">
        <f t="shared" si="105"/>
        <v>0</v>
      </c>
      <c r="T86" s="311">
        <f t="shared" si="105"/>
        <v>0</v>
      </c>
      <c r="U86" s="311">
        <f t="shared" si="105"/>
        <v>0</v>
      </c>
      <c r="V86" s="311">
        <f t="shared" si="105"/>
        <v>0</v>
      </c>
      <c r="W86" s="311">
        <f t="shared" si="105"/>
        <v>0</v>
      </c>
      <c r="X86" s="311">
        <f t="shared" si="105"/>
        <v>0</v>
      </c>
      <c r="Y86" s="311">
        <f t="shared" si="105"/>
        <v>0</v>
      </c>
      <c r="Z86" s="311">
        <f t="shared" si="105"/>
        <v>0</v>
      </c>
      <c r="AA86" s="311">
        <f t="shared" si="105"/>
        <v>0</v>
      </c>
      <c r="AB86" s="311">
        <f t="shared" si="105"/>
        <v>0</v>
      </c>
      <c r="AC86" s="311">
        <f t="shared" si="105"/>
        <v>0</v>
      </c>
      <c r="AD86" s="311">
        <f t="shared" si="105"/>
        <v>0</v>
      </c>
      <c r="AE86" s="311">
        <f t="shared" si="105"/>
        <v>0</v>
      </c>
      <c r="AF86" s="311">
        <f t="shared" si="105"/>
        <v>0</v>
      </c>
      <c r="AG86" s="311">
        <f t="shared" si="105"/>
        <v>0</v>
      </c>
      <c r="AH86" s="311">
        <f t="shared" si="105"/>
        <v>0</v>
      </c>
      <c r="AI86" s="311">
        <f t="shared" si="105"/>
        <v>0</v>
      </c>
      <c r="AJ86" s="311">
        <f t="shared" si="105"/>
        <v>0</v>
      </c>
      <c r="AK86" s="311">
        <f t="shared" si="105"/>
        <v>0</v>
      </c>
      <c r="AL86" s="311">
        <f t="shared" si="105"/>
        <v>0</v>
      </c>
      <c r="AM86" s="311">
        <f t="shared" si="105"/>
        <v>0</v>
      </c>
      <c r="AN86" s="311">
        <f t="shared" si="105"/>
        <v>0</v>
      </c>
      <c r="AO86" s="311">
        <f t="shared" si="105"/>
        <v>0</v>
      </c>
      <c r="AP86" s="311">
        <f t="shared" si="105"/>
        <v>0</v>
      </c>
      <c r="AQ86" s="311">
        <f t="shared" si="105"/>
        <v>0</v>
      </c>
      <c r="AR86" s="311">
        <f t="shared" si="105"/>
        <v>0</v>
      </c>
      <c r="AS86" s="311">
        <f t="shared" si="105"/>
        <v>0</v>
      </c>
    </row>
    <row r="87" spans="1:45" hidden="1" outlineLevel="1">
      <c r="A87" s="836">
        <f t="shared" si="90"/>
        <v>15</v>
      </c>
      <c r="B87" s="837">
        <f t="shared" si="91"/>
        <v>0</v>
      </c>
      <c r="C87" s="1235"/>
      <c r="D87" s="1236"/>
      <c r="E87" s="1236"/>
      <c r="F87" s="1236"/>
      <c r="G87" s="1237"/>
      <c r="H87" s="311">
        <f t="shared" si="92"/>
        <v>0</v>
      </c>
      <c r="I87" s="332"/>
      <c r="J87" s="311">
        <f t="shared" ref="J87:AS87" si="106">+J53*$B87</f>
        <v>0</v>
      </c>
      <c r="K87" s="311">
        <f t="shared" si="106"/>
        <v>0</v>
      </c>
      <c r="L87" s="311">
        <f t="shared" si="106"/>
        <v>0</v>
      </c>
      <c r="M87" s="311">
        <f t="shared" si="106"/>
        <v>0</v>
      </c>
      <c r="N87" s="311">
        <f t="shared" si="106"/>
        <v>0</v>
      </c>
      <c r="O87" s="311">
        <f t="shared" si="106"/>
        <v>0</v>
      </c>
      <c r="P87" s="311">
        <f t="shared" si="106"/>
        <v>0</v>
      </c>
      <c r="Q87" s="311">
        <f t="shared" si="106"/>
        <v>0</v>
      </c>
      <c r="R87" s="311">
        <f t="shared" si="106"/>
        <v>0</v>
      </c>
      <c r="S87" s="311">
        <f t="shared" si="106"/>
        <v>0</v>
      </c>
      <c r="T87" s="311">
        <f t="shared" si="106"/>
        <v>0</v>
      </c>
      <c r="U87" s="311">
        <f t="shared" si="106"/>
        <v>0</v>
      </c>
      <c r="V87" s="311">
        <f t="shared" si="106"/>
        <v>0</v>
      </c>
      <c r="W87" s="311">
        <f t="shared" si="106"/>
        <v>0</v>
      </c>
      <c r="X87" s="311">
        <f t="shared" si="106"/>
        <v>0</v>
      </c>
      <c r="Y87" s="311">
        <f t="shared" si="106"/>
        <v>0</v>
      </c>
      <c r="Z87" s="311">
        <f t="shared" si="106"/>
        <v>0</v>
      </c>
      <c r="AA87" s="311">
        <f t="shared" si="106"/>
        <v>0</v>
      </c>
      <c r="AB87" s="311">
        <f t="shared" si="106"/>
        <v>0</v>
      </c>
      <c r="AC87" s="311">
        <f t="shared" si="106"/>
        <v>0</v>
      </c>
      <c r="AD87" s="311">
        <f t="shared" si="106"/>
        <v>0</v>
      </c>
      <c r="AE87" s="311">
        <f t="shared" si="106"/>
        <v>0</v>
      </c>
      <c r="AF87" s="311">
        <f t="shared" si="106"/>
        <v>0</v>
      </c>
      <c r="AG87" s="311">
        <f t="shared" si="106"/>
        <v>0</v>
      </c>
      <c r="AH87" s="311">
        <f t="shared" si="106"/>
        <v>0</v>
      </c>
      <c r="AI87" s="311">
        <f t="shared" si="106"/>
        <v>0</v>
      </c>
      <c r="AJ87" s="311">
        <f t="shared" si="106"/>
        <v>0</v>
      </c>
      <c r="AK87" s="311">
        <f t="shared" si="106"/>
        <v>0</v>
      </c>
      <c r="AL87" s="311">
        <f t="shared" si="106"/>
        <v>0</v>
      </c>
      <c r="AM87" s="311">
        <f t="shared" si="106"/>
        <v>0</v>
      </c>
      <c r="AN87" s="311">
        <f t="shared" si="106"/>
        <v>0</v>
      </c>
      <c r="AO87" s="311">
        <f t="shared" si="106"/>
        <v>0</v>
      </c>
      <c r="AP87" s="311">
        <f t="shared" si="106"/>
        <v>0</v>
      </c>
      <c r="AQ87" s="311">
        <f t="shared" si="106"/>
        <v>0</v>
      </c>
      <c r="AR87" s="311">
        <f t="shared" si="106"/>
        <v>0</v>
      </c>
      <c r="AS87" s="311">
        <f t="shared" si="106"/>
        <v>0</v>
      </c>
    </row>
    <row r="88" spans="1:45" hidden="1" outlineLevel="1">
      <c r="A88" s="836">
        <f t="shared" si="90"/>
        <v>16</v>
      </c>
      <c r="B88" s="837">
        <f t="shared" si="91"/>
        <v>0</v>
      </c>
      <c r="C88" s="1235"/>
      <c r="D88" s="1236"/>
      <c r="E88" s="1236"/>
      <c r="F88" s="1236"/>
      <c r="G88" s="1237"/>
      <c r="H88" s="311">
        <f t="shared" si="92"/>
        <v>0</v>
      </c>
      <c r="I88" s="332"/>
      <c r="J88" s="311">
        <f t="shared" ref="J88:AS88" si="107">+J54*$B88</f>
        <v>0</v>
      </c>
      <c r="K88" s="311">
        <f t="shared" si="107"/>
        <v>0</v>
      </c>
      <c r="L88" s="311">
        <f t="shared" si="107"/>
        <v>0</v>
      </c>
      <c r="M88" s="311">
        <f t="shared" si="107"/>
        <v>0</v>
      </c>
      <c r="N88" s="311">
        <f t="shared" si="107"/>
        <v>0</v>
      </c>
      <c r="O88" s="311">
        <f t="shared" si="107"/>
        <v>0</v>
      </c>
      <c r="P88" s="311">
        <f t="shared" si="107"/>
        <v>0</v>
      </c>
      <c r="Q88" s="311">
        <f t="shared" si="107"/>
        <v>0</v>
      </c>
      <c r="R88" s="311">
        <f t="shared" si="107"/>
        <v>0</v>
      </c>
      <c r="S88" s="311">
        <f t="shared" si="107"/>
        <v>0</v>
      </c>
      <c r="T88" s="311">
        <f t="shared" si="107"/>
        <v>0</v>
      </c>
      <c r="U88" s="311">
        <f t="shared" si="107"/>
        <v>0</v>
      </c>
      <c r="V88" s="311">
        <f t="shared" si="107"/>
        <v>0</v>
      </c>
      <c r="W88" s="311">
        <f t="shared" si="107"/>
        <v>0</v>
      </c>
      <c r="X88" s="311">
        <f t="shared" si="107"/>
        <v>0</v>
      </c>
      <c r="Y88" s="311">
        <f t="shared" si="107"/>
        <v>0</v>
      </c>
      <c r="Z88" s="311">
        <f t="shared" si="107"/>
        <v>0</v>
      </c>
      <c r="AA88" s="311">
        <f t="shared" si="107"/>
        <v>0</v>
      </c>
      <c r="AB88" s="311">
        <f t="shared" si="107"/>
        <v>0</v>
      </c>
      <c r="AC88" s="311">
        <f t="shared" si="107"/>
        <v>0</v>
      </c>
      <c r="AD88" s="311">
        <f t="shared" si="107"/>
        <v>0</v>
      </c>
      <c r="AE88" s="311">
        <f t="shared" si="107"/>
        <v>0</v>
      </c>
      <c r="AF88" s="311">
        <f t="shared" si="107"/>
        <v>0</v>
      </c>
      <c r="AG88" s="311">
        <f t="shared" si="107"/>
        <v>0</v>
      </c>
      <c r="AH88" s="311">
        <f t="shared" si="107"/>
        <v>0</v>
      </c>
      <c r="AI88" s="311">
        <f t="shared" si="107"/>
        <v>0</v>
      </c>
      <c r="AJ88" s="311">
        <f t="shared" si="107"/>
        <v>0</v>
      </c>
      <c r="AK88" s="311">
        <f t="shared" si="107"/>
        <v>0</v>
      </c>
      <c r="AL88" s="311">
        <f t="shared" si="107"/>
        <v>0</v>
      </c>
      <c r="AM88" s="311">
        <f t="shared" si="107"/>
        <v>0</v>
      </c>
      <c r="AN88" s="311">
        <f t="shared" si="107"/>
        <v>0</v>
      </c>
      <c r="AO88" s="311">
        <f t="shared" si="107"/>
        <v>0</v>
      </c>
      <c r="AP88" s="311">
        <f t="shared" si="107"/>
        <v>0</v>
      </c>
      <c r="AQ88" s="311">
        <f t="shared" si="107"/>
        <v>0</v>
      </c>
      <c r="AR88" s="311">
        <f t="shared" si="107"/>
        <v>0</v>
      </c>
      <c r="AS88" s="311">
        <f t="shared" si="107"/>
        <v>0</v>
      </c>
    </row>
    <row r="89" spans="1:45" hidden="1" outlineLevel="1">
      <c r="A89" s="836">
        <f t="shared" si="90"/>
        <v>17</v>
      </c>
      <c r="B89" s="837">
        <f t="shared" si="91"/>
        <v>0</v>
      </c>
      <c r="C89" s="1235"/>
      <c r="D89" s="1236"/>
      <c r="E89" s="1236"/>
      <c r="F89" s="1236"/>
      <c r="G89" s="1237"/>
      <c r="H89" s="311">
        <f t="shared" si="92"/>
        <v>0</v>
      </c>
      <c r="I89" s="332"/>
      <c r="J89" s="311">
        <f t="shared" ref="J89:AS89" si="108">+J55*$B89</f>
        <v>0</v>
      </c>
      <c r="K89" s="311">
        <f t="shared" si="108"/>
        <v>0</v>
      </c>
      <c r="L89" s="311">
        <f t="shared" si="108"/>
        <v>0</v>
      </c>
      <c r="M89" s="311">
        <f t="shared" si="108"/>
        <v>0</v>
      </c>
      <c r="N89" s="311">
        <f t="shared" si="108"/>
        <v>0</v>
      </c>
      <c r="O89" s="311">
        <f t="shared" si="108"/>
        <v>0</v>
      </c>
      <c r="P89" s="311">
        <f t="shared" si="108"/>
        <v>0</v>
      </c>
      <c r="Q89" s="311">
        <f t="shared" si="108"/>
        <v>0</v>
      </c>
      <c r="R89" s="311">
        <f t="shared" si="108"/>
        <v>0</v>
      </c>
      <c r="S89" s="311">
        <f t="shared" si="108"/>
        <v>0</v>
      </c>
      <c r="T89" s="311">
        <f t="shared" si="108"/>
        <v>0</v>
      </c>
      <c r="U89" s="311">
        <f t="shared" si="108"/>
        <v>0</v>
      </c>
      <c r="V89" s="311">
        <f t="shared" si="108"/>
        <v>0</v>
      </c>
      <c r="W89" s="311">
        <f t="shared" si="108"/>
        <v>0</v>
      </c>
      <c r="X89" s="311">
        <f t="shared" si="108"/>
        <v>0</v>
      </c>
      <c r="Y89" s="311">
        <f t="shared" si="108"/>
        <v>0</v>
      </c>
      <c r="Z89" s="311">
        <f t="shared" si="108"/>
        <v>0</v>
      </c>
      <c r="AA89" s="311">
        <f t="shared" si="108"/>
        <v>0</v>
      </c>
      <c r="AB89" s="311">
        <f t="shared" si="108"/>
        <v>0</v>
      </c>
      <c r="AC89" s="311">
        <f t="shared" si="108"/>
        <v>0</v>
      </c>
      <c r="AD89" s="311">
        <f t="shared" si="108"/>
        <v>0</v>
      </c>
      <c r="AE89" s="311">
        <f t="shared" si="108"/>
        <v>0</v>
      </c>
      <c r="AF89" s="311">
        <f t="shared" si="108"/>
        <v>0</v>
      </c>
      <c r="AG89" s="311">
        <f t="shared" si="108"/>
        <v>0</v>
      </c>
      <c r="AH89" s="311">
        <f t="shared" si="108"/>
        <v>0</v>
      </c>
      <c r="AI89" s="311">
        <f t="shared" si="108"/>
        <v>0</v>
      </c>
      <c r="AJ89" s="311">
        <f t="shared" si="108"/>
        <v>0</v>
      </c>
      <c r="AK89" s="311">
        <f t="shared" si="108"/>
        <v>0</v>
      </c>
      <c r="AL89" s="311">
        <f t="shared" si="108"/>
        <v>0</v>
      </c>
      <c r="AM89" s="311">
        <f t="shared" si="108"/>
        <v>0</v>
      </c>
      <c r="AN89" s="311">
        <f t="shared" si="108"/>
        <v>0</v>
      </c>
      <c r="AO89" s="311">
        <f t="shared" si="108"/>
        <v>0</v>
      </c>
      <c r="AP89" s="311">
        <f t="shared" si="108"/>
        <v>0</v>
      </c>
      <c r="AQ89" s="311">
        <f t="shared" si="108"/>
        <v>0</v>
      </c>
      <c r="AR89" s="311">
        <f t="shared" si="108"/>
        <v>0</v>
      </c>
      <c r="AS89" s="311">
        <f t="shared" si="108"/>
        <v>0</v>
      </c>
    </row>
    <row r="90" spans="1:45" hidden="1" outlineLevel="1">
      <c r="A90" s="836">
        <f t="shared" si="90"/>
        <v>18</v>
      </c>
      <c r="B90" s="837">
        <f t="shared" si="91"/>
        <v>0</v>
      </c>
      <c r="C90" s="1235"/>
      <c r="D90" s="1236"/>
      <c r="E90" s="1236"/>
      <c r="F90" s="1236"/>
      <c r="G90" s="1237"/>
      <c r="H90" s="311">
        <f t="shared" si="92"/>
        <v>0</v>
      </c>
      <c r="I90" s="332"/>
      <c r="J90" s="311">
        <f t="shared" ref="J90:AS90" si="109">+J56*$B90</f>
        <v>0</v>
      </c>
      <c r="K90" s="311">
        <f t="shared" si="109"/>
        <v>0</v>
      </c>
      <c r="L90" s="311">
        <f t="shared" si="109"/>
        <v>0</v>
      </c>
      <c r="M90" s="311">
        <f t="shared" si="109"/>
        <v>0</v>
      </c>
      <c r="N90" s="311">
        <f t="shared" si="109"/>
        <v>0</v>
      </c>
      <c r="O90" s="311">
        <f t="shared" si="109"/>
        <v>0</v>
      </c>
      <c r="P90" s="311">
        <f t="shared" si="109"/>
        <v>0</v>
      </c>
      <c r="Q90" s="311">
        <f t="shared" si="109"/>
        <v>0</v>
      </c>
      <c r="R90" s="311">
        <f t="shared" si="109"/>
        <v>0</v>
      </c>
      <c r="S90" s="311">
        <f t="shared" si="109"/>
        <v>0</v>
      </c>
      <c r="T90" s="311">
        <f t="shared" si="109"/>
        <v>0</v>
      </c>
      <c r="U90" s="311">
        <f t="shared" si="109"/>
        <v>0</v>
      </c>
      <c r="V90" s="311">
        <f t="shared" si="109"/>
        <v>0</v>
      </c>
      <c r="W90" s="311">
        <f t="shared" si="109"/>
        <v>0</v>
      </c>
      <c r="X90" s="311">
        <f t="shared" si="109"/>
        <v>0</v>
      </c>
      <c r="Y90" s="311">
        <f t="shared" si="109"/>
        <v>0</v>
      </c>
      <c r="Z90" s="311">
        <f t="shared" si="109"/>
        <v>0</v>
      </c>
      <c r="AA90" s="311">
        <f t="shared" si="109"/>
        <v>0</v>
      </c>
      <c r="AB90" s="311">
        <f t="shared" si="109"/>
        <v>0</v>
      </c>
      <c r="AC90" s="311">
        <f t="shared" si="109"/>
        <v>0</v>
      </c>
      <c r="AD90" s="311">
        <f t="shared" si="109"/>
        <v>0</v>
      </c>
      <c r="AE90" s="311">
        <f t="shared" si="109"/>
        <v>0</v>
      </c>
      <c r="AF90" s="311">
        <f t="shared" si="109"/>
        <v>0</v>
      </c>
      <c r="AG90" s="311">
        <f t="shared" si="109"/>
        <v>0</v>
      </c>
      <c r="AH90" s="311">
        <f t="shared" si="109"/>
        <v>0</v>
      </c>
      <c r="AI90" s="311">
        <f t="shared" si="109"/>
        <v>0</v>
      </c>
      <c r="AJ90" s="311">
        <f t="shared" si="109"/>
        <v>0</v>
      </c>
      <c r="AK90" s="311">
        <f t="shared" si="109"/>
        <v>0</v>
      </c>
      <c r="AL90" s="311">
        <f t="shared" si="109"/>
        <v>0</v>
      </c>
      <c r="AM90" s="311">
        <f t="shared" si="109"/>
        <v>0</v>
      </c>
      <c r="AN90" s="311">
        <f t="shared" si="109"/>
        <v>0</v>
      </c>
      <c r="AO90" s="311">
        <f t="shared" si="109"/>
        <v>0</v>
      </c>
      <c r="AP90" s="311">
        <f t="shared" si="109"/>
        <v>0</v>
      </c>
      <c r="AQ90" s="311">
        <f t="shared" si="109"/>
        <v>0</v>
      </c>
      <c r="AR90" s="311">
        <f t="shared" si="109"/>
        <v>0</v>
      </c>
      <c r="AS90" s="311">
        <f t="shared" si="109"/>
        <v>0</v>
      </c>
    </row>
    <row r="91" spans="1:45" hidden="1" outlineLevel="1">
      <c r="A91" s="836">
        <f t="shared" si="90"/>
        <v>19</v>
      </c>
      <c r="B91" s="837">
        <f t="shared" si="91"/>
        <v>0</v>
      </c>
      <c r="C91" s="1235"/>
      <c r="D91" s="1236"/>
      <c r="E91" s="1236"/>
      <c r="F91" s="1236"/>
      <c r="G91" s="1237"/>
      <c r="H91" s="311">
        <f t="shared" si="92"/>
        <v>0</v>
      </c>
      <c r="I91" s="332"/>
      <c r="J91" s="311">
        <f t="shared" ref="J91:AS91" si="110">+J57*$B91</f>
        <v>0</v>
      </c>
      <c r="K91" s="311">
        <f t="shared" si="110"/>
        <v>0</v>
      </c>
      <c r="L91" s="311">
        <f t="shared" si="110"/>
        <v>0</v>
      </c>
      <c r="M91" s="311">
        <f t="shared" si="110"/>
        <v>0</v>
      </c>
      <c r="N91" s="311">
        <f t="shared" si="110"/>
        <v>0</v>
      </c>
      <c r="O91" s="311">
        <f t="shared" si="110"/>
        <v>0</v>
      </c>
      <c r="P91" s="311">
        <f t="shared" si="110"/>
        <v>0</v>
      </c>
      <c r="Q91" s="311">
        <f t="shared" si="110"/>
        <v>0</v>
      </c>
      <c r="R91" s="311">
        <f t="shared" si="110"/>
        <v>0</v>
      </c>
      <c r="S91" s="311">
        <f t="shared" si="110"/>
        <v>0</v>
      </c>
      <c r="T91" s="311">
        <f t="shared" si="110"/>
        <v>0</v>
      </c>
      <c r="U91" s="311">
        <f t="shared" si="110"/>
        <v>0</v>
      </c>
      <c r="V91" s="311">
        <f t="shared" si="110"/>
        <v>0</v>
      </c>
      <c r="W91" s="311">
        <f t="shared" si="110"/>
        <v>0</v>
      </c>
      <c r="X91" s="311">
        <f t="shared" si="110"/>
        <v>0</v>
      </c>
      <c r="Y91" s="311">
        <f t="shared" si="110"/>
        <v>0</v>
      </c>
      <c r="Z91" s="311">
        <f t="shared" si="110"/>
        <v>0</v>
      </c>
      <c r="AA91" s="311">
        <f t="shared" si="110"/>
        <v>0</v>
      </c>
      <c r="AB91" s="311">
        <f t="shared" si="110"/>
        <v>0</v>
      </c>
      <c r="AC91" s="311">
        <f t="shared" si="110"/>
        <v>0</v>
      </c>
      <c r="AD91" s="311">
        <f t="shared" si="110"/>
        <v>0</v>
      </c>
      <c r="AE91" s="311">
        <f t="shared" si="110"/>
        <v>0</v>
      </c>
      <c r="AF91" s="311">
        <f t="shared" si="110"/>
        <v>0</v>
      </c>
      <c r="AG91" s="311">
        <f t="shared" si="110"/>
        <v>0</v>
      </c>
      <c r="AH91" s="311">
        <f t="shared" si="110"/>
        <v>0</v>
      </c>
      <c r="AI91" s="311">
        <f t="shared" si="110"/>
        <v>0</v>
      </c>
      <c r="AJ91" s="311">
        <f t="shared" si="110"/>
        <v>0</v>
      </c>
      <c r="AK91" s="311">
        <f t="shared" si="110"/>
        <v>0</v>
      </c>
      <c r="AL91" s="311">
        <f t="shared" si="110"/>
        <v>0</v>
      </c>
      <c r="AM91" s="311">
        <f t="shared" si="110"/>
        <v>0</v>
      </c>
      <c r="AN91" s="311">
        <f t="shared" si="110"/>
        <v>0</v>
      </c>
      <c r="AO91" s="311">
        <f t="shared" si="110"/>
        <v>0</v>
      </c>
      <c r="AP91" s="311">
        <f t="shared" si="110"/>
        <v>0</v>
      </c>
      <c r="AQ91" s="311">
        <f t="shared" si="110"/>
        <v>0</v>
      </c>
      <c r="AR91" s="311">
        <f t="shared" si="110"/>
        <v>0</v>
      </c>
      <c r="AS91" s="311">
        <f t="shared" si="110"/>
        <v>0</v>
      </c>
    </row>
    <row r="92" spans="1:45" hidden="1" outlineLevel="1">
      <c r="A92" s="836">
        <f t="shared" si="90"/>
        <v>20</v>
      </c>
      <c r="B92" s="837">
        <f t="shared" si="91"/>
        <v>0</v>
      </c>
      <c r="C92" s="1235"/>
      <c r="D92" s="1236"/>
      <c r="E92" s="1236"/>
      <c r="F92" s="1236"/>
      <c r="G92" s="1237"/>
      <c r="H92" s="311">
        <f t="shared" si="92"/>
        <v>0</v>
      </c>
      <c r="I92" s="332"/>
      <c r="J92" s="311">
        <f t="shared" ref="J92:AS92" si="111">+J58*$B92</f>
        <v>0</v>
      </c>
      <c r="K92" s="311">
        <f t="shared" si="111"/>
        <v>0</v>
      </c>
      <c r="L92" s="311">
        <f t="shared" si="111"/>
        <v>0</v>
      </c>
      <c r="M92" s="311">
        <f t="shared" si="111"/>
        <v>0</v>
      </c>
      <c r="N92" s="311">
        <f t="shared" si="111"/>
        <v>0</v>
      </c>
      <c r="O92" s="311">
        <f t="shared" si="111"/>
        <v>0</v>
      </c>
      <c r="P92" s="311">
        <f t="shared" si="111"/>
        <v>0</v>
      </c>
      <c r="Q92" s="311">
        <f t="shared" si="111"/>
        <v>0</v>
      </c>
      <c r="R92" s="311">
        <f t="shared" si="111"/>
        <v>0</v>
      </c>
      <c r="S92" s="311">
        <f t="shared" si="111"/>
        <v>0</v>
      </c>
      <c r="T92" s="311">
        <f t="shared" si="111"/>
        <v>0</v>
      </c>
      <c r="U92" s="311">
        <f t="shared" si="111"/>
        <v>0</v>
      </c>
      <c r="V92" s="311">
        <f t="shared" si="111"/>
        <v>0</v>
      </c>
      <c r="W92" s="311">
        <f t="shared" si="111"/>
        <v>0</v>
      </c>
      <c r="X92" s="311">
        <f t="shared" si="111"/>
        <v>0</v>
      </c>
      <c r="Y92" s="311">
        <f t="shared" si="111"/>
        <v>0</v>
      </c>
      <c r="Z92" s="311">
        <f t="shared" si="111"/>
        <v>0</v>
      </c>
      <c r="AA92" s="311">
        <f t="shared" si="111"/>
        <v>0</v>
      </c>
      <c r="AB92" s="311">
        <f t="shared" si="111"/>
        <v>0</v>
      </c>
      <c r="AC92" s="311">
        <f t="shared" si="111"/>
        <v>0</v>
      </c>
      <c r="AD92" s="311">
        <f t="shared" si="111"/>
        <v>0</v>
      </c>
      <c r="AE92" s="311">
        <f t="shared" si="111"/>
        <v>0</v>
      </c>
      <c r="AF92" s="311">
        <f t="shared" si="111"/>
        <v>0</v>
      </c>
      <c r="AG92" s="311">
        <f t="shared" si="111"/>
        <v>0</v>
      </c>
      <c r="AH92" s="311">
        <f t="shared" si="111"/>
        <v>0</v>
      </c>
      <c r="AI92" s="311">
        <f t="shared" si="111"/>
        <v>0</v>
      </c>
      <c r="AJ92" s="311">
        <f t="shared" si="111"/>
        <v>0</v>
      </c>
      <c r="AK92" s="311">
        <f t="shared" si="111"/>
        <v>0</v>
      </c>
      <c r="AL92" s="311">
        <f t="shared" si="111"/>
        <v>0</v>
      </c>
      <c r="AM92" s="311">
        <f t="shared" si="111"/>
        <v>0</v>
      </c>
      <c r="AN92" s="311">
        <f t="shared" si="111"/>
        <v>0</v>
      </c>
      <c r="AO92" s="311">
        <f t="shared" si="111"/>
        <v>0</v>
      </c>
      <c r="AP92" s="311">
        <f t="shared" si="111"/>
        <v>0</v>
      </c>
      <c r="AQ92" s="311">
        <f t="shared" si="111"/>
        <v>0</v>
      </c>
      <c r="AR92" s="311">
        <f t="shared" si="111"/>
        <v>0</v>
      </c>
      <c r="AS92" s="311">
        <f t="shared" si="111"/>
        <v>0</v>
      </c>
    </row>
    <row r="93" spans="1:45" hidden="1" outlineLevel="1">
      <c r="A93" s="836">
        <f t="shared" si="90"/>
        <v>21</v>
      </c>
      <c r="B93" s="837">
        <f t="shared" si="91"/>
        <v>0</v>
      </c>
      <c r="C93" s="1235"/>
      <c r="D93" s="1236"/>
      <c r="E93" s="1236"/>
      <c r="F93" s="1236"/>
      <c r="G93" s="1237"/>
      <c r="H93" s="311">
        <f t="shared" si="92"/>
        <v>0</v>
      </c>
      <c r="I93" s="332"/>
      <c r="J93" s="311">
        <f t="shared" ref="J93:AS93" si="112">+J59*$B93</f>
        <v>0</v>
      </c>
      <c r="K93" s="311">
        <f t="shared" si="112"/>
        <v>0</v>
      </c>
      <c r="L93" s="311">
        <f t="shared" si="112"/>
        <v>0</v>
      </c>
      <c r="M93" s="311">
        <f t="shared" si="112"/>
        <v>0</v>
      </c>
      <c r="N93" s="311">
        <f t="shared" si="112"/>
        <v>0</v>
      </c>
      <c r="O93" s="311">
        <f t="shared" si="112"/>
        <v>0</v>
      </c>
      <c r="P93" s="311">
        <f t="shared" si="112"/>
        <v>0</v>
      </c>
      <c r="Q93" s="311">
        <f t="shared" si="112"/>
        <v>0</v>
      </c>
      <c r="R93" s="311">
        <f t="shared" si="112"/>
        <v>0</v>
      </c>
      <c r="S93" s="311">
        <f t="shared" si="112"/>
        <v>0</v>
      </c>
      <c r="T93" s="311">
        <f t="shared" si="112"/>
        <v>0</v>
      </c>
      <c r="U93" s="311">
        <f t="shared" si="112"/>
        <v>0</v>
      </c>
      <c r="V93" s="311">
        <f t="shared" si="112"/>
        <v>0</v>
      </c>
      <c r="W93" s="311">
        <f t="shared" si="112"/>
        <v>0</v>
      </c>
      <c r="X93" s="311">
        <f t="shared" si="112"/>
        <v>0</v>
      </c>
      <c r="Y93" s="311">
        <f t="shared" si="112"/>
        <v>0</v>
      </c>
      <c r="Z93" s="311">
        <f t="shared" si="112"/>
        <v>0</v>
      </c>
      <c r="AA93" s="311">
        <f t="shared" si="112"/>
        <v>0</v>
      </c>
      <c r="AB93" s="311">
        <f t="shared" si="112"/>
        <v>0</v>
      </c>
      <c r="AC93" s="311">
        <f t="shared" si="112"/>
        <v>0</v>
      </c>
      <c r="AD93" s="311">
        <f t="shared" si="112"/>
        <v>0</v>
      </c>
      <c r="AE93" s="311">
        <f t="shared" si="112"/>
        <v>0</v>
      </c>
      <c r="AF93" s="311">
        <f t="shared" si="112"/>
        <v>0</v>
      </c>
      <c r="AG93" s="311">
        <f t="shared" si="112"/>
        <v>0</v>
      </c>
      <c r="AH93" s="311">
        <f t="shared" si="112"/>
        <v>0</v>
      </c>
      <c r="AI93" s="311">
        <f t="shared" si="112"/>
        <v>0</v>
      </c>
      <c r="AJ93" s="311">
        <f t="shared" si="112"/>
        <v>0</v>
      </c>
      <c r="AK93" s="311">
        <f t="shared" si="112"/>
        <v>0</v>
      </c>
      <c r="AL93" s="311">
        <f t="shared" si="112"/>
        <v>0</v>
      </c>
      <c r="AM93" s="311">
        <f t="shared" si="112"/>
        <v>0</v>
      </c>
      <c r="AN93" s="311">
        <f t="shared" si="112"/>
        <v>0</v>
      </c>
      <c r="AO93" s="311">
        <f t="shared" si="112"/>
        <v>0</v>
      </c>
      <c r="AP93" s="311">
        <f t="shared" si="112"/>
        <v>0</v>
      </c>
      <c r="AQ93" s="311">
        <f t="shared" si="112"/>
        <v>0</v>
      </c>
      <c r="AR93" s="311">
        <f t="shared" si="112"/>
        <v>0</v>
      </c>
      <c r="AS93" s="311">
        <f t="shared" si="112"/>
        <v>0</v>
      </c>
    </row>
    <row r="94" spans="1:45" hidden="1" outlineLevel="1">
      <c r="A94" s="836">
        <f t="shared" si="90"/>
        <v>22</v>
      </c>
      <c r="B94" s="837">
        <f t="shared" si="91"/>
        <v>0</v>
      </c>
      <c r="C94" s="1235"/>
      <c r="D94" s="1236"/>
      <c r="E94" s="1236"/>
      <c r="F94" s="1236"/>
      <c r="G94" s="1237"/>
      <c r="H94" s="311">
        <f t="shared" si="92"/>
        <v>0</v>
      </c>
      <c r="I94" s="332"/>
      <c r="J94" s="311">
        <f t="shared" ref="J94:AS94" si="113">+J60*$B94</f>
        <v>0</v>
      </c>
      <c r="K94" s="311">
        <f t="shared" si="113"/>
        <v>0</v>
      </c>
      <c r="L94" s="311">
        <f t="shared" si="113"/>
        <v>0</v>
      </c>
      <c r="M94" s="311">
        <f t="shared" si="113"/>
        <v>0</v>
      </c>
      <c r="N94" s="311">
        <f t="shared" si="113"/>
        <v>0</v>
      </c>
      <c r="O94" s="311">
        <f t="shared" si="113"/>
        <v>0</v>
      </c>
      <c r="P94" s="311">
        <f t="shared" si="113"/>
        <v>0</v>
      </c>
      <c r="Q94" s="311">
        <f t="shared" si="113"/>
        <v>0</v>
      </c>
      <c r="R94" s="311">
        <f t="shared" si="113"/>
        <v>0</v>
      </c>
      <c r="S94" s="311">
        <f t="shared" si="113"/>
        <v>0</v>
      </c>
      <c r="T94" s="311">
        <f t="shared" si="113"/>
        <v>0</v>
      </c>
      <c r="U94" s="311">
        <f t="shared" si="113"/>
        <v>0</v>
      </c>
      <c r="V94" s="311">
        <f t="shared" si="113"/>
        <v>0</v>
      </c>
      <c r="W94" s="311">
        <f t="shared" si="113"/>
        <v>0</v>
      </c>
      <c r="X94" s="311">
        <f t="shared" si="113"/>
        <v>0</v>
      </c>
      <c r="Y94" s="311">
        <f t="shared" si="113"/>
        <v>0</v>
      </c>
      <c r="Z94" s="311">
        <f t="shared" si="113"/>
        <v>0</v>
      </c>
      <c r="AA94" s="311">
        <f t="shared" si="113"/>
        <v>0</v>
      </c>
      <c r="AB94" s="311">
        <f t="shared" si="113"/>
        <v>0</v>
      </c>
      <c r="AC94" s="311">
        <f t="shared" si="113"/>
        <v>0</v>
      </c>
      <c r="AD94" s="311">
        <f t="shared" si="113"/>
        <v>0</v>
      </c>
      <c r="AE94" s="311">
        <f t="shared" si="113"/>
        <v>0</v>
      </c>
      <c r="AF94" s="311">
        <f t="shared" si="113"/>
        <v>0</v>
      </c>
      <c r="AG94" s="311">
        <f t="shared" si="113"/>
        <v>0</v>
      </c>
      <c r="AH94" s="311">
        <f t="shared" si="113"/>
        <v>0</v>
      </c>
      <c r="AI94" s="311">
        <f t="shared" si="113"/>
        <v>0</v>
      </c>
      <c r="AJ94" s="311">
        <f t="shared" si="113"/>
        <v>0</v>
      </c>
      <c r="AK94" s="311">
        <f t="shared" si="113"/>
        <v>0</v>
      </c>
      <c r="AL94" s="311">
        <f t="shared" si="113"/>
        <v>0</v>
      </c>
      <c r="AM94" s="311">
        <f t="shared" si="113"/>
        <v>0</v>
      </c>
      <c r="AN94" s="311">
        <f t="shared" si="113"/>
        <v>0</v>
      </c>
      <c r="AO94" s="311">
        <f t="shared" si="113"/>
        <v>0</v>
      </c>
      <c r="AP94" s="311">
        <f t="shared" si="113"/>
        <v>0</v>
      </c>
      <c r="AQ94" s="311">
        <f t="shared" si="113"/>
        <v>0</v>
      </c>
      <c r="AR94" s="311">
        <f t="shared" si="113"/>
        <v>0</v>
      </c>
      <c r="AS94" s="311">
        <f t="shared" si="113"/>
        <v>0</v>
      </c>
    </row>
    <row r="95" spans="1:45" hidden="1" outlineLevel="1">
      <c r="A95" s="836">
        <f t="shared" si="90"/>
        <v>23</v>
      </c>
      <c r="B95" s="837">
        <f t="shared" si="91"/>
        <v>0</v>
      </c>
      <c r="C95" s="1235"/>
      <c r="D95" s="1236"/>
      <c r="E95" s="1236"/>
      <c r="F95" s="1236"/>
      <c r="G95" s="1237"/>
      <c r="H95" s="311">
        <f t="shared" si="92"/>
        <v>0</v>
      </c>
      <c r="I95" s="332"/>
      <c r="J95" s="311">
        <f t="shared" ref="J95:AS95" si="114">+J61*$B95</f>
        <v>0</v>
      </c>
      <c r="K95" s="311">
        <f t="shared" si="114"/>
        <v>0</v>
      </c>
      <c r="L95" s="311">
        <f t="shared" si="114"/>
        <v>0</v>
      </c>
      <c r="M95" s="311">
        <f t="shared" si="114"/>
        <v>0</v>
      </c>
      <c r="N95" s="311">
        <f t="shared" si="114"/>
        <v>0</v>
      </c>
      <c r="O95" s="311">
        <f t="shared" si="114"/>
        <v>0</v>
      </c>
      <c r="P95" s="311">
        <f t="shared" si="114"/>
        <v>0</v>
      </c>
      <c r="Q95" s="311">
        <f t="shared" si="114"/>
        <v>0</v>
      </c>
      <c r="R95" s="311">
        <f t="shared" si="114"/>
        <v>0</v>
      </c>
      <c r="S95" s="311">
        <f t="shared" si="114"/>
        <v>0</v>
      </c>
      <c r="T95" s="311">
        <f t="shared" si="114"/>
        <v>0</v>
      </c>
      <c r="U95" s="311">
        <f t="shared" si="114"/>
        <v>0</v>
      </c>
      <c r="V95" s="311">
        <f t="shared" si="114"/>
        <v>0</v>
      </c>
      <c r="W95" s="311">
        <f t="shared" si="114"/>
        <v>0</v>
      </c>
      <c r="X95" s="311">
        <f t="shared" si="114"/>
        <v>0</v>
      </c>
      <c r="Y95" s="311">
        <f t="shared" si="114"/>
        <v>0</v>
      </c>
      <c r="Z95" s="311">
        <f t="shared" si="114"/>
        <v>0</v>
      </c>
      <c r="AA95" s="311">
        <f t="shared" si="114"/>
        <v>0</v>
      </c>
      <c r="AB95" s="311">
        <f t="shared" si="114"/>
        <v>0</v>
      </c>
      <c r="AC95" s="311">
        <f t="shared" si="114"/>
        <v>0</v>
      </c>
      <c r="AD95" s="311">
        <f t="shared" si="114"/>
        <v>0</v>
      </c>
      <c r="AE95" s="311">
        <f t="shared" si="114"/>
        <v>0</v>
      </c>
      <c r="AF95" s="311">
        <f t="shared" si="114"/>
        <v>0</v>
      </c>
      <c r="AG95" s="311">
        <f t="shared" si="114"/>
        <v>0</v>
      </c>
      <c r="AH95" s="311">
        <f t="shared" si="114"/>
        <v>0</v>
      </c>
      <c r="AI95" s="311">
        <f t="shared" si="114"/>
        <v>0</v>
      </c>
      <c r="AJ95" s="311">
        <f t="shared" si="114"/>
        <v>0</v>
      </c>
      <c r="AK95" s="311">
        <f t="shared" si="114"/>
        <v>0</v>
      </c>
      <c r="AL95" s="311">
        <f t="shared" si="114"/>
        <v>0</v>
      </c>
      <c r="AM95" s="311">
        <f t="shared" si="114"/>
        <v>0</v>
      </c>
      <c r="AN95" s="311">
        <f t="shared" si="114"/>
        <v>0</v>
      </c>
      <c r="AO95" s="311">
        <f t="shared" si="114"/>
        <v>0</v>
      </c>
      <c r="AP95" s="311">
        <f t="shared" si="114"/>
        <v>0</v>
      </c>
      <c r="AQ95" s="311">
        <f t="shared" si="114"/>
        <v>0</v>
      </c>
      <c r="AR95" s="311">
        <f t="shared" si="114"/>
        <v>0</v>
      </c>
      <c r="AS95" s="311">
        <f t="shared" si="114"/>
        <v>0</v>
      </c>
    </row>
    <row r="96" spans="1:45" hidden="1" outlineLevel="1">
      <c r="A96" s="836">
        <f t="shared" si="90"/>
        <v>24</v>
      </c>
      <c r="B96" s="837">
        <f t="shared" si="91"/>
        <v>0</v>
      </c>
      <c r="C96" s="1235"/>
      <c r="D96" s="1236"/>
      <c r="E96" s="1236"/>
      <c r="F96" s="1236"/>
      <c r="G96" s="1237"/>
      <c r="H96" s="311">
        <f t="shared" si="92"/>
        <v>0</v>
      </c>
      <c r="I96" s="332"/>
      <c r="J96" s="311">
        <f t="shared" ref="J96:AS96" si="115">+J62*$B96</f>
        <v>0</v>
      </c>
      <c r="K96" s="311">
        <f t="shared" si="115"/>
        <v>0</v>
      </c>
      <c r="L96" s="311">
        <f t="shared" si="115"/>
        <v>0</v>
      </c>
      <c r="M96" s="311">
        <f t="shared" si="115"/>
        <v>0</v>
      </c>
      <c r="N96" s="311">
        <f t="shared" si="115"/>
        <v>0</v>
      </c>
      <c r="O96" s="311">
        <f t="shared" si="115"/>
        <v>0</v>
      </c>
      <c r="P96" s="311">
        <f t="shared" si="115"/>
        <v>0</v>
      </c>
      <c r="Q96" s="311">
        <f t="shared" si="115"/>
        <v>0</v>
      </c>
      <c r="R96" s="311">
        <f t="shared" si="115"/>
        <v>0</v>
      </c>
      <c r="S96" s="311">
        <f t="shared" si="115"/>
        <v>0</v>
      </c>
      <c r="T96" s="311">
        <f t="shared" si="115"/>
        <v>0</v>
      </c>
      <c r="U96" s="311">
        <f t="shared" si="115"/>
        <v>0</v>
      </c>
      <c r="V96" s="311">
        <f t="shared" si="115"/>
        <v>0</v>
      </c>
      <c r="W96" s="311">
        <f t="shared" si="115"/>
        <v>0</v>
      </c>
      <c r="X96" s="311">
        <f t="shared" si="115"/>
        <v>0</v>
      </c>
      <c r="Y96" s="311">
        <f t="shared" si="115"/>
        <v>0</v>
      </c>
      <c r="Z96" s="311">
        <f t="shared" si="115"/>
        <v>0</v>
      </c>
      <c r="AA96" s="311">
        <f t="shared" si="115"/>
        <v>0</v>
      </c>
      <c r="AB96" s="311">
        <f t="shared" si="115"/>
        <v>0</v>
      </c>
      <c r="AC96" s="311">
        <f t="shared" si="115"/>
        <v>0</v>
      </c>
      <c r="AD96" s="311">
        <f t="shared" si="115"/>
        <v>0</v>
      </c>
      <c r="AE96" s="311">
        <f t="shared" si="115"/>
        <v>0</v>
      </c>
      <c r="AF96" s="311">
        <f t="shared" si="115"/>
        <v>0</v>
      </c>
      <c r="AG96" s="311">
        <f t="shared" si="115"/>
        <v>0</v>
      </c>
      <c r="AH96" s="311">
        <f t="shared" si="115"/>
        <v>0</v>
      </c>
      <c r="AI96" s="311">
        <f t="shared" si="115"/>
        <v>0</v>
      </c>
      <c r="AJ96" s="311">
        <f t="shared" si="115"/>
        <v>0</v>
      </c>
      <c r="AK96" s="311">
        <f t="shared" si="115"/>
        <v>0</v>
      </c>
      <c r="AL96" s="311">
        <f t="shared" si="115"/>
        <v>0</v>
      </c>
      <c r="AM96" s="311">
        <f t="shared" si="115"/>
        <v>0</v>
      </c>
      <c r="AN96" s="311">
        <f t="shared" si="115"/>
        <v>0</v>
      </c>
      <c r="AO96" s="311">
        <f t="shared" si="115"/>
        <v>0</v>
      </c>
      <c r="AP96" s="311">
        <f t="shared" si="115"/>
        <v>0</v>
      </c>
      <c r="AQ96" s="311">
        <f t="shared" si="115"/>
        <v>0</v>
      </c>
      <c r="AR96" s="311">
        <f t="shared" si="115"/>
        <v>0</v>
      </c>
      <c r="AS96" s="311">
        <f t="shared" si="115"/>
        <v>0</v>
      </c>
    </row>
    <row r="97" spans="1:45" hidden="1" outlineLevel="1">
      <c r="A97" s="836">
        <f t="shared" si="90"/>
        <v>25</v>
      </c>
      <c r="B97" s="837">
        <f t="shared" si="91"/>
        <v>0</v>
      </c>
      <c r="C97" s="1235"/>
      <c r="D97" s="1236"/>
      <c r="E97" s="1236"/>
      <c r="F97" s="1236"/>
      <c r="G97" s="1237"/>
      <c r="H97" s="311">
        <f t="shared" si="92"/>
        <v>0</v>
      </c>
      <c r="I97" s="332"/>
      <c r="J97" s="311">
        <f t="shared" ref="J97:AS97" si="116">+J63*$B97</f>
        <v>0</v>
      </c>
      <c r="K97" s="311">
        <f t="shared" si="116"/>
        <v>0</v>
      </c>
      <c r="L97" s="311">
        <f t="shared" si="116"/>
        <v>0</v>
      </c>
      <c r="M97" s="311">
        <f t="shared" si="116"/>
        <v>0</v>
      </c>
      <c r="N97" s="311">
        <f t="shared" si="116"/>
        <v>0</v>
      </c>
      <c r="O97" s="311">
        <f t="shared" si="116"/>
        <v>0</v>
      </c>
      <c r="P97" s="311">
        <f t="shared" si="116"/>
        <v>0</v>
      </c>
      <c r="Q97" s="311">
        <f t="shared" si="116"/>
        <v>0</v>
      </c>
      <c r="R97" s="311">
        <f t="shared" si="116"/>
        <v>0</v>
      </c>
      <c r="S97" s="311">
        <f t="shared" si="116"/>
        <v>0</v>
      </c>
      <c r="T97" s="311">
        <f t="shared" si="116"/>
        <v>0</v>
      </c>
      <c r="U97" s="311">
        <f t="shared" si="116"/>
        <v>0</v>
      </c>
      <c r="V97" s="311">
        <f t="shared" si="116"/>
        <v>0</v>
      </c>
      <c r="W97" s="311">
        <f t="shared" si="116"/>
        <v>0</v>
      </c>
      <c r="X97" s="311">
        <f t="shared" si="116"/>
        <v>0</v>
      </c>
      <c r="Y97" s="311">
        <f t="shared" si="116"/>
        <v>0</v>
      </c>
      <c r="Z97" s="311">
        <f t="shared" si="116"/>
        <v>0</v>
      </c>
      <c r="AA97" s="311">
        <f t="shared" si="116"/>
        <v>0</v>
      </c>
      <c r="AB97" s="311">
        <f t="shared" si="116"/>
        <v>0</v>
      </c>
      <c r="AC97" s="311">
        <f t="shared" si="116"/>
        <v>0</v>
      </c>
      <c r="AD97" s="311">
        <f t="shared" si="116"/>
        <v>0</v>
      </c>
      <c r="AE97" s="311">
        <f t="shared" si="116"/>
        <v>0</v>
      </c>
      <c r="AF97" s="311">
        <f t="shared" si="116"/>
        <v>0</v>
      </c>
      <c r="AG97" s="311">
        <f t="shared" si="116"/>
        <v>0</v>
      </c>
      <c r="AH97" s="311">
        <f t="shared" si="116"/>
        <v>0</v>
      </c>
      <c r="AI97" s="311">
        <f t="shared" si="116"/>
        <v>0</v>
      </c>
      <c r="AJ97" s="311">
        <f t="shared" si="116"/>
        <v>0</v>
      </c>
      <c r="AK97" s="311">
        <f t="shared" si="116"/>
        <v>0</v>
      </c>
      <c r="AL97" s="311">
        <f t="shared" si="116"/>
        <v>0</v>
      </c>
      <c r="AM97" s="311">
        <f t="shared" si="116"/>
        <v>0</v>
      </c>
      <c r="AN97" s="311">
        <f t="shared" si="116"/>
        <v>0</v>
      </c>
      <c r="AO97" s="311">
        <f t="shared" si="116"/>
        <v>0</v>
      </c>
      <c r="AP97" s="311">
        <f t="shared" si="116"/>
        <v>0</v>
      </c>
      <c r="AQ97" s="311">
        <f t="shared" si="116"/>
        <v>0</v>
      </c>
      <c r="AR97" s="311">
        <f t="shared" si="116"/>
        <v>0</v>
      </c>
      <c r="AS97" s="311">
        <f t="shared" si="116"/>
        <v>0</v>
      </c>
    </row>
    <row r="98" spans="1:45" hidden="1" outlineLevel="1">
      <c r="A98" s="836">
        <f t="shared" si="90"/>
        <v>26</v>
      </c>
      <c r="B98" s="837">
        <f t="shared" si="91"/>
        <v>0</v>
      </c>
      <c r="C98" s="1235"/>
      <c r="D98" s="1236"/>
      <c r="E98" s="1236"/>
      <c r="F98" s="1236"/>
      <c r="G98" s="1237"/>
      <c r="H98" s="311">
        <f t="shared" si="92"/>
        <v>0</v>
      </c>
      <c r="I98" s="332"/>
      <c r="J98" s="311">
        <f t="shared" ref="J98:AS98" si="117">+J64*$B98</f>
        <v>0</v>
      </c>
      <c r="K98" s="311">
        <f t="shared" si="117"/>
        <v>0</v>
      </c>
      <c r="L98" s="311">
        <f t="shared" si="117"/>
        <v>0</v>
      </c>
      <c r="M98" s="311">
        <f t="shared" si="117"/>
        <v>0</v>
      </c>
      <c r="N98" s="311">
        <f t="shared" si="117"/>
        <v>0</v>
      </c>
      <c r="O98" s="311">
        <f t="shared" si="117"/>
        <v>0</v>
      </c>
      <c r="P98" s="311">
        <f t="shared" si="117"/>
        <v>0</v>
      </c>
      <c r="Q98" s="311">
        <f t="shared" si="117"/>
        <v>0</v>
      </c>
      <c r="R98" s="311">
        <f t="shared" si="117"/>
        <v>0</v>
      </c>
      <c r="S98" s="311">
        <f t="shared" si="117"/>
        <v>0</v>
      </c>
      <c r="T98" s="311">
        <f t="shared" si="117"/>
        <v>0</v>
      </c>
      <c r="U98" s="311">
        <f t="shared" si="117"/>
        <v>0</v>
      </c>
      <c r="V98" s="311">
        <f t="shared" si="117"/>
        <v>0</v>
      </c>
      <c r="W98" s="311">
        <f t="shared" si="117"/>
        <v>0</v>
      </c>
      <c r="X98" s="311">
        <f t="shared" si="117"/>
        <v>0</v>
      </c>
      <c r="Y98" s="311">
        <f t="shared" si="117"/>
        <v>0</v>
      </c>
      <c r="Z98" s="311">
        <f t="shared" si="117"/>
        <v>0</v>
      </c>
      <c r="AA98" s="311">
        <f t="shared" si="117"/>
        <v>0</v>
      </c>
      <c r="AB98" s="311">
        <f t="shared" si="117"/>
        <v>0</v>
      </c>
      <c r="AC98" s="311">
        <f t="shared" si="117"/>
        <v>0</v>
      </c>
      <c r="AD98" s="311">
        <f t="shared" si="117"/>
        <v>0</v>
      </c>
      <c r="AE98" s="311">
        <f t="shared" si="117"/>
        <v>0</v>
      </c>
      <c r="AF98" s="311">
        <f t="shared" si="117"/>
        <v>0</v>
      </c>
      <c r="AG98" s="311">
        <f t="shared" si="117"/>
        <v>0</v>
      </c>
      <c r="AH98" s="311">
        <f t="shared" si="117"/>
        <v>0</v>
      </c>
      <c r="AI98" s="311">
        <f t="shared" si="117"/>
        <v>0</v>
      </c>
      <c r="AJ98" s="311">
        <f t="shared" si="117"/>
        <v>0</v>
      </c>
      <c r="AK98" s="311">
        <f t="shared" si="117"/>
        <v>0</v>
      </c>
      <c r="AL98" s="311">
        <f t="shared" si="117"/>
        <v>0</v>
      </c>
      <c r="AM98" s="311">
        <f t="shared" si="117"/>
        <v>0</v>
      </c>
      <c r="AN98" s="311">
        <f t="shared" si="117"/>
        <v>0</v>
      </c>
      <c r="AO98" s="311">
        <f t="shared" si="117"/>
        <v>0</v>
      </c>
      <c r="AP98" s="311">
        <f t="shared" si="117"/>
        <v>0</v>
      </c>
      <c r="AQ98" s="311">
        <f t="shared" si="117"/>
        <v>0</v>
      </c>
      <c r="AR98" s="311">
        <f t="shared" si="117"/>
        <v>0</v>
      </c>
      <c r="AS98" s="311">
        <f t="shared" si="117"/>
        <v>0</v>
      </c>
    </row>
    <row r="99" spans="1:45" hidden="1" outlineLevel="1">
      <c r="A99" s="836">
        <f t="shared" si="90"/>
        <v>27</v>
      </c>
      <c r="B99" s="837">
        <f t="shared" si="91"/>
        <v>0</v>
      </c>
      <c r="C99" s="1235"/>
      <c r="D99" s="1236"/>
      <c r="E99" s="1236"/>
      <c r="F99" s="1236"/>
      <c r="G99" s="1237"/>
      <c r="H99" s="311">
        <f t="shared" si="92"/>
        <v>0</v>
      </c>
      <c r="I99" s="332"/>
      <c r="J99" s="311">
        <f t="shared" ref="J99:AS99" si="118">+J65*$B99</f>
        <v>0</v>
      </c>
      <c r="K99" s="311">
        <f t="shared" si="118"/>
        <v>0</v>
      </c>
      <c r="L99" s="311">
        <f t="shared" si="118"/>
        <v>0</v>
      </c>
      <c r="M99" s="311">
        <f t="shared" si="118"/>
        <v>0</v>
      </c>
      <c r="N99" s="311">
        <f t="shared" si="118"/>
        <v>0</v>
      </c>
      <c r="O99" s="311">
        <f t="shared" si="118"/>
        <v>0</v>
      </c>
      <c r="P99" s="311">
        <f t="shared" si="118"/>
        <v>0</v>
      </c>
      <c r="Q99" s="311">
        <f t="shared" si="118"/>
        <v>0</v>
      </c>
      <c r="R99" s="311">
        <f t="shared" si="118"/>
        <v>0</v>
      </c>
      <c r="S99" s="311">
        <f t="shared" si="118"/>
        <v>0</v>
      </c>
      <c r="T99" s="311">
        <f t="shared" si="118"/>
        <v>0</v>
      </c>
      <c r="U99" s="311">
        <f t="shared" si="118"/>
        <v>0</v>
      </c>
      <c r="V99" s="311">
        <f t="shared" si="118"/>
        <v>0</v>
      </c>
      <c r="W99" s="311">
        <f t="shared" si="118"/>
        <v>0</v>
      </c>
      <c r="X99" s="311">
        <f t="shared" si="118"/>
        <v>0</v>
      </c>
      <c r="Y99" s="311">
        <f t="shared" si="118"/>
        <v>0</v>
      </c>
      <c r="Z99" s="311">
        <f t="shared" si="118"/>
        <v>0</v>
      </c>
      <c r="AA99" s="311">
        <f t="shared" si="118"/>
        <v>0</v>
      </c>
      <c r="AB99" s="311">
        <f t="shared" si="118"/>
        <v>0</v>
      </c>
      <c r="AC99" s="311">
        <f t="shared" si="118"/>
        <v>0</v>
      </c>
      <c r="AD99" s="311">
        <f t="shared" si="118"/>
        <v>0</v>
      </c>
      <c r="AE99" s="311">
        <f t="shared" si="118"/>
        <v>0</v>
      </c>
      <c r="AF99" s="311">
        <f t="shared" si="118"/>
        <v>0</v>
      </c>
      <c r="AG99" s="311">
        <f t="shared" si="118"/>
        <v>0</v>
      </c>
      <c r="AH99" s="311">
        <f t="shared" si="118"/>
        <v>0</v>
      </c>
      <c r="AI99" s="311">
        <f t="shared" si="118"/>
        <v>0</v>
      </c>
      <c r="AJ99" s="311">
        <f t="shared" si="118"/>
        <v>0</v>
      </c>
      <c r="AK99" s="311">
        <f t="shared" si="118"/>
        <v>0</v>
      </c>
      <c r="AL99" s="311">
        <f t="shared" si="118"/>
        <v>0</v>
      </c>
      <c r="AM99" s="311">
        <f t="shared" si="118"/>
        <v>0</v>
      </c>
      <c r="AN99" s="311">
        <f t="shared" si="118"/>
        <v>0</v>
      </c>
      <c r="AO99" s="311">
        <f t="shared" si="118"/>
        <v>0</v>
      </c>
      <c r="AP99" s="311">
        <f t="shared" si="118"/>
        <v>0</v>
      </c>
      <c r="AQ99" s="311">
        <f t="shared" si="118"/>
        <v>0</v>
      </c>
      <c r="AR99" s="311">
        <f t="shared" si="118"/>
        <v>0</v>
      </c>
      <c r="AS99" s="311">
        <f t="shared" si="118"/>
        <v>0</v>
      </c>
    </row>
    <row r="100" spans="1:45" hidden="1" outlineLevel="1">
      <c r="A100" s="836">
        <f t="shared" si="90"/>
        <v>28</v>
      </c>
      <c r="B100" s="837">
        <f t="shared" si="91"/>
        <v>0</v>
      </c>
      <c r="C100" s="1235"/>
      <c r="D100" s="1236"/>
      <c r="E100" s="1236"/>
      <c r="F100" s="1236"/>
      <c r="G100" s="1237"/>
      <c r="H100" s="311">
        <f t="shared" si="92"/>
        <v>0</v>
      </c>
      <c r="I100" s="332"/>
      <c r="J100" s="311">
        <f t="shared" ref="J100:AS100" si="119">+J66*$B100</f>
        <v>0</v>
      </c>
      <c r="K100" s="311">
        <f t="shared" si="119"/>
        <v>0</v>
      </c>
      <c r="L100" s="311">
        <f t="shared" si="119"/>
        <v>0</v>
      </c>
      <c r="M100" s="311">
        <f t="shared" si="119"/>
        <v>0</v>
      </c>
      <c r="N100" s="311">
        <f t="shared" si="119"/>
        <v>0</v>
      </c>
      <c r="O100" s="311">
        <f t="shared" si="119"/>
        <v>0</v>
      </c>
      <c r="P100" s="311">
        <f t="shared" si="119"/>
        <v>0</v>
      </c>
      <c r="Q100" s="311">
        <f t="shared" si="119"/>
        <v>0</v>
      </c>
      <c r="R100" s="311">
        <f t="shared" si="119"/>
        <v>0</v>
      </c>
      <c r="S100" s="311">
        <f t="shared" si="119"/>
        <v>0</v>
      </c>
      <c r="T100" s="311">
        <f t="shared" si="119"/>
        <v>0</v>
      </c>
      <c r="U100" s="311">
        <f t="shared" si="119"/>
        <v>0</v>
      </c>
      <c r="V100" s="311">
        <f t="shared" si="119"/>
        <v>0</v>
      </c>
      <c r="W100" s="311">
        <f t="shared" si="119"/>
        <v>0</v>
      </c>
      <c r="X100" s="311">
        <f t="shared" si="119"/>
        <v>0</v>
      </c>
      <c r="Y100" s="311">
        <f t="shared" si="119"/>
        <v>0</v>
      </c>
      <c r="Z100" s="311">
        <f t="shared" si="119"/>
        <v>0</v>
      </c>
      <c r="AA100" s="311">
        <f t="shared" si="119"/>
        <v>0</v>
      </c>
      <c r="AB100" s="311">
        <f t="shared" si="119"/>
        <v>0</v>
      </c>
      <c r="AC100" s="311">
        <f t="shared" si="119"/>
        <v>0</v>
      </c>
      <c r="AD100" s="311">
        <f t="shared" si="119"/>
        <v>0</v>
      </c>
      <c r="AE100" s="311">
        <f t="shared" si="119"/>
        <v>0</v>
      </c>
      <c r="AF100" s="311">
        <f t="shared" si="119"/>
        <v>0</v>
      </c>
      <c r="AG100" s="311">
        <f t="shared" si="119"/>
        <v>0</v>
      </c>
      <c r="AH100" s="311">
        <f t="shared" si="119"/>
        <v>0</v>
      </c>
      <c r="AI100" s="311">
        <f t="shared" si="119"/>
        <v>0</v>
      </c>
      <c r="AJ100" s="311">
        <f t="shared" si="119"/>
        <v>0</v>
      </c>
      <c r="AK100" s="311">
        <f t="shared" si="119"/>
        <v>0</v>
      </c>
      <c r="AL100" s="311">
        <f t="shared" si="119"/>
        <v>0</v>
      </c>
      <c r="AM100" s="311">
        <f t="shared" si="119"/>
        <v>0</v>
      </c>
      <c r="AN100" s="311">
        <f t="shared" si="119"/>
        <v>0</v>
      </c>
      <c r="AO100" s="311">
        <f t="shared" si="119"/>
        <v>0</v>
      </c>
      <c r="AP100" s="311">
        <f t="shared" si="119"/>
        <v>0</v>
      </c>
      <c r="AQ100" s="311">
        <f t="shared" si="119"/>
        <v>0</v>
      </c>
      <c r="AR100" s="311">
        <f t="shared" si="119"/>
        <v>0</v>
      </c>
      <c r="AS100" s="311">
        <f t="shared" si="119"/>
        <v>0</v>
      </c>
    </row>
    <row r="101" spans="1:45" hidden="1" outlineLevel="1">
      <c r="A101" s="836">
        <f t="shared" si="90"/>
        <v>29</v>
      </c>
      <c r="B101" s="837">
        <f t="shared" si="91"/>
        <v>0</v>
      </c>
      <c r="C101" s="1235"/>
      <c r="D101" s="1236"/>
      <c r="E101" s="1236"/>
      <c r="F101" s="1236"/>
      <c r="G101" s="1237"/>
      <c r="H101" s="311">
        <f t="shared" si="92"/>
        <v>0</v>
      </c>
      <c r="I101" s="332"/>
      <c r="J101" s="311">
        <f t="shared" ref="J101:AS101" si="120">+J67*$B101</f>
        <v>0</v>
      </c>
      <c r="K101" s="311">
        <f t="shared" si="120"/>
        <v>0</v>
      </c>
      <c r="L101" s="311">
        <f t="shared" si="120"/>
        <v>0</v>
      </c>
      <c r="M101" s="311">
        <f t="shared" si="120"/>
        <v>0</v>
      </c>
      <c r="N101" s="311">
        <f t="shared" si="120"/>
        <v>0</v>
      </c>
      <c r="O101" s="311">
        <f t="shared" si="120"/>
        <v>0</v>
      </c>
      <c r="P101" s="311">
        <f t="shared" si="120"/>
        <v>0</v>
      </c>
      <c r="Q101" s="311">
        <f t="shared" si="120"/>
        <v>0</v>
      </c>
      <c r="R101" s="311">
        <f t="shared" si="120"/>
        <v>0</v>
      </c>
      <c r="S101" s="311">
        <f t="shared" si="120"/>
        <v>0</v>
      </c>
      <c r="T101" s="311">
        <f t="shared" si="120"/>
        <v>0</v>
      </c>
      <c r="U101" s="311">
        <f t="shared" si="120"/>
        <v>0</v>
      </c>
      <c r="V101" s="311">
        <f t="shared" si="120"/>
        <v>0</v>
      </c>
      <c r="W101" s="311">
        <f t="shared" si="120"/>
        <v>0</v>
      </c>
      <c r="X101" s="311">
        <f t="shared" si="120"/>
        <v>0</v>
      </c>
      <c r="Y101" s="311">
        <f t="shared" si="120"/>
        <v>0</v>
      </c>
      <c r="Z101" s="311">
        <f t="shared" si="120"/>
        <v>0</v>
      </c>
      <c r="AA101" s="311">
        <f t="shared" si="120"/>
        <v>0</v>
      </c>
      <c r="AB101" s="311">
        <f t="shared" si="120"/>
        <v>0</v>
      </c>
      <c r="AC101" s="311">
        <f t="shared" si="120"/>
        <v>0</v>
      </c>
      <c r="AD101" s="311">
        <f t="shared" si="120"/>
        <v>0</v>
      </c>
      <c r="AE101" s="311">
        <f t="shared" si="120"/>
        <v>0</v>
      </c>
      <c r="AF101" s="311">
        <f t="shared" si="120"/>
        <v>0</v>
      </c>
      <c r="AG101" s="311">
        <f t="shared" si="120"/>
        <v>0</v>
      </c>
      <c r="AH101" s="311">
        <f t="shared" si="120"/>
        <v>0</v>
      </c>
      <c r="AI101" s="311">
        <f t="shared" si="120"/>
        <v>0</v>
      </c>
      <c r="AJ101" s="311">
        <f t="shared" si="120"/>
        <v>0</v>
      </c>
      <c r="AK101" s="311">
        <f t="shared" si="120"/>
        <v>0</v>
      </c>
      <c r="AL101" s="311">
        <f t="shared" si="120"/>
        <v>0</v>
      </c>
      <c r="AM101" s="311">
        <f t="shared" si="120"/>
        <v>0</v>
      </c>
      <c r="AN101" s="311">
        <f t="shared" si="120"/>
        <v>0</v>
      </c>
      <c r="AO101" s="311">
        <f t="shared" si="120"/>
        <v>0</v>
      </c>
      <c r="AP101" s="311">
        <f t="shared" si="120"/>
        <v>0</v>
      </c>
      <c r="AQ101" s="311">
        <f t="shared" si="120"/>
        <v>0</v>
      </c>
      <c r="AR101" s="311">
        <f t="shared" si="120"/>
        <v>0</v>
      </c>
      <c r="AS101" s="311">
        <f t="shared" si="120"/>
        <v>0</v>
      </c>
    </row>
    <row r="102" spans="1:45" hidden="1" outlineLevel="1">
      <c r="A102" s="836">
        <f t="shared" si="90"/>
        <v>30</v>
      </c>
      <c r="B102" s="837">
        <f t="shared" si="91"/>
        <v>0</v>
      </c>
      <c r="C102" s="1235"/>
      <c r="D102" s="1236"/>
      <c r="E102" s="1236"/>
      <c r="F102" s="1236"/>
      <c r="G102" s="1237"/>
      <c r="H102" s="311">
        <f t="shared" si="92"/>
        <v>0</v>
      </c>
      <c r="I102" s="332"/>
      <c r="J102" s="311">
        <f t="shared" ref="J102:AS102" si="121">+J68*$B102</f>
        <v>0</v>
      </c>
      <c r="K102" s="311">
        <f t="shared" si="121"/>
        <v>0</v>
      </c>
      <c r="L102" s="311">
        <f t="shared" si="121"/>
        <v>0</v>
      </c>
      <c r="M102" s="311">
        <f t="shared" si="121"/>
        <v>0</v>
      </c>
      <c r="N102" s="311">
        <f t="shared" si="121"/>
        <v>0</v>
      </c>
      <c r="O102" s="311">
        <f t="shared" si="121"/>
        <v>0</v>
      </c>
      <c r="P102" s="311">
        <f t="shared" si="121"/>
        <v>0</v>
      </c>
      <c r="Q102" s="311">
        <f t="shared" si="121"/>
        <v>0</v>
      </c>
      <c r="R102" s="311">
        <f t="shared" si="121"/>
        <v>0</v>
      </c>
      <c r="S102" s="311">
        <f t="shared" si="121"/>
        <v>0</v>
      </c>
      <c r="T102" s="311">
        <f t="shared" si="121"/>
        <v>0</v>
      </c>
      <c r="U102" s="311">
        <f t="shared" si="121"/>
        <v>0</v>
      </c>
      <c r="V102" s="311">
        <f t="shared" si="121"/>
        <v>0</v>
      </c>
      <c r="W102" s="311">
        <f t="shared" si="121"/>
        <v>0</v>
      </c>
      <c r="X102" s="311">
        <f t="shared" si="121"/>
        <v>0</v>
      </c>
      <c r="Y102" s="311">
        <f t="shared" si="121"/>
        <v>0</v>
      </c>
      <c r="Z102" s="311">
        <f t="shared" si="121"/>
        <v>0</v>
      </c>
      <c r="AA102" s="311">
        <f t="shared" si="121"/>
        <v>0</v>
      </c>
      <c r="AB102" s="311">
        <f t="shared" si="121"/>
        <v>0</v>
      </c>
      <c r="AC102" s="311">
        <f t="shared" si="121"/>
        <v>0</v>
      </c>
      <c r="AD102" s="311">
        <f t="shared" si="121"/>
        <v>0</v>
      </c>
      <c r="AE102" s="311">
        <f t="shared" si="121"/>
        <v>0</v>
      </c>
      <c r="AF102" s="311">
        <f t="shared" si="121"/>
        <v>0</v>
      </c>
      <c r="AG102" s="311">
        <f t="shared" si="121"/>
        <v>0</v>
      </c>
      <c r="AH102" s="311">
        <f t="shared" si="121"/>
        <v>0</v>
      </c>
      <c r="AI102" s="311">
        <f t="shared" si="121"/>
        <v>0</v>
      </c>
      <c r="AJ102" s="311">
        <f t="shared" si="121"/>
        <v>0</v>
      </c>
      <c r="AK102" s="311">
        <f t="shared" si="121"/>
        <v>0</v>
      </c>
      <c r="AL102" s="311">
        <f t="shared" si="121"/>
        <v>0</v>
      </c>
      <c r="AM102" s="311">
        <f t="shared" si="121"/>
        <v>0</v>
      </c>
      <c r="AN102" s="311">
        <f t="shared" si="121"/>
        <v>0</v>
      </c>
      <c r="AO102" s="311">
        <f t="shared" si="121"/>
        <v>0</v>
      </c>
      <c r="AP102" s="311">
        <f t="shared" si="121"/>
        <v>0</v>
      </c>
      <c r="AQ102" s="311">
        <f t="shared" si="121"/>
        <v>0</v>
      </c>
      <c r="AR102" s="311">
        <f t="shared" si="121"/>
        <v>0</v>
      </c>
      <c r="AS102" s="311">
        <f t="shared" si="121"/>
        <v>0</v>
      </c>
    </row>
    <row r="103" spans="1:45" s="336" customFormat="1" collapsed="1">
      <c r="A103" s="336" t="s">
        <v>5</v>
      </c>
      <c r="C103" s="829"/>
      <c r="D103" s="829"/>
      <c r="E103" s="829"/>
      <c r="F103" s="829"/>
      <c r="G103" s="829"/>
      <c r="H103" s="311">
        <f>SUM(H73:H102)</f>
        <v>0</v>
      </c>
      <c r="I103" s="335"/>
      <c r="J103" s="337">
        <f t="shared" ref="J103:AS103" si="122">SUM(J73:J102)</f>
        <v>0</v>
      </c>
      <c r="K103" s="337">
        <f t="shared" si="122"/>
        <v>0</v>
      </c>
      <c r="L103" s="337">
        <f t="shared" si="122"/>
        <v>0</v>
      </c>
      <c r="M103" s="337">
        <f t="shared" si="122"/>
        <v>0</v>
      </c>
      <c r="N103" s="337">
        <f t="shared" si="122"/>
        <v>0</v>
      </c>
      <c r="O103" s="337">
        <f t="shared" si="122"/>
        <v>0</v>
      </c>
      <c r="P103" s="337">
        <f t="shared" si="122"/>
        <v>0</v>
      </c>
      <c r="Q103" s="337">
        <f t="shared" si="122"/>
        <v>0</v>
      </c>
      <c r="R103" s="337">
        <f t="shared" si="122"/>
        <v>0</v>
      </c>
      <c r="S103" s="337">
        <f t="shared" si="122"/>
        <v>0</v>
      </c>
      <c r="T103" s="337">
        <f t="shared" si="122"/>
        <v>0</v>
      </c>
      <c r="U103" s="337">
        <f t="shared" si="122"/>
        <v>0</v>
      </c>
      <c r="V103" s="337">
        <f t="shared" si="122"/>
        <v>0</v>
      </c>
      <c r="W103" s="337">
        <f t="shared" si="122"/>
        <v>0</v>
      </c>
      <c r="X103" s="337">
        <f t="shared" si="122"/>
        <v>0</v>
      </c>
      <c r="Y103" s="337">
        <f t="shared" si="122"/>
        <v>0</v>
      </c>
      <c r="Z103" s="337">
        <f t="shared" si="122"/>
        <v>0</v>
      </c>
      <c r="AA103" s="337">
        <f t="shared" si="122"/>
        <v>0</v>
      </c>
      <c r="AB103" s="337">
        <f t="shared" si="122"/>
        <v>0</v>
      </c>
      <c r="AC103" s="337">
        <f t="shared" si="122"/>
        <v>0</v>
      </c>
      <c r="AD103" s="337">
        <f t="shared" si="122"/>
        <v>0</v>
      </c>
      <c r="AE103" s="337">
        <f t="shared" si="122"/>
        <v>0</v>
      </c>
      <c r="AF103" s="337">
        <f t="shared" si="122"/>
        <v>0</v>
      </c>
      <c r="AG103" s="337">
        <f t="shared" si="122"/>
        <v>0</v>
      </c>
      <c r="AH103" s="337">
        <f t="shared" si="122"/>
        <v>0</v>
      </c>
      <c r="AI103" s="337">
        <f t="shared" si="122"/>
        <v>0</v>
      </c>
      <c r="AJ103" s="337">
        <f t="shared" si="122"/>
        <v>0</v>
      </c>
      <c r="AK103" s="337">
        <f t="shared" si="122"/>
        <v>0</v>
      </c>
      <c r="AL103" s="337">
        <f t="shared" si="122"/>
        <v>0</v>
      </c>
      <c r="AM103" s="337">
        <f t="shared" si="122"/>
        <v>0</v>
      </c>
      <c r="AN103" s="337">
        <f t="shared" si="122"/>
        <v>0</v>
      </c>
      <c r="AO103" s="337">
        <f t="shared" si="122"/>
        <v>0</v>
      </c>
      <c r="AP103" s="337">
        <f t="shared" si="122"/>
        <v>0</v>
      </c>
      <c r="AQ103" s="337">
        <f t="shared" si="122"/>
        <v>0</v>
      </c>
      <c r="AR103" s="337">
        <f t="shared" si="122"/>
        <v>0</v>
      </c>
      <c r="AS103" s="337">
        <f t="shared" si="122"/>
        <v>0</v>
      </c>
    </row>
    <row r="104" spans="1:45">
      <c r="C104" s="829"/>
      <c r="D104" s="829"/>
      <c r="E104" s="829"/>
      <c r="F104" s="829"/>
      <c r="G104" s="829"/>
      <c r="I104" s="313" t="s">
        <v>46</v>
      </c>
    </row>
    <row r="105" spans="1:45">
      <c r="C105" s="829"/>
      <c r="D105" s="829"/>
      <c r="E105" s="829"/>
      <c r="F105" s="829"/>
      <c r="G105" s="829"/>
    </row>
    <row r="106" spans="1:45">
      <c r="C106" s="829"/>
      <c r="D106" s="829"/>
      <c r="E106" s="829"/>
      <c r="F106" s="829"/>
      <c r="G106" s="829"/>
    </row>
    <row r="107" spans="1:45">
      <c r="C107" s="829"/>
      <c r="D107" s="829"/>
      <c r="E107" s="829"/>
      <c r="F107" s="829"/>
      <c r="G107" s="829"/>
    </row>
    <row r="108" spans="1:45">
      <c r="C108" s="829"/>
      <c r="D108" s="829"/>
      <c r="E108" s="829"/>
      <c r="F108" s="829"/>
      <c r="G108" s="829"/>
    </row>
    <row r="109" spans="1:45">
      <c r="C109" s="829"/>
      <c r="D109" s="829"/>
      <c r="E109" s="829"/>
      <c r="F109" s="829"/>
      <c r="G109" s="829"/>
    </row>
    <row r="110" spans="1:45">
      <c r="C110" s="829"/>
      <c r="D110" s="829"/>
      <c r="E110" s="829"/>
      <c r="F110" s="829"/>
      <c r="G110" s="829"/>
    </row>
    <row r="111" spans="1:45">
      <c r="C111" s="829"/>
      <c r="D111" s="829"/>
      <c r="E111" s="829"/>
      <c r="F111" s="829"/>
      <c r="G111" s="829"/>
    </row>
    <row r="112" spans="1:45">
      <c r="C112" s="829"/>
      <c r="D112" s="829"/>
      <c r="E112" s="829"/>
      <c r="F112" s="829"/>
      <c r="G112" s="829"/>
    </row>
    <row r="113" spans="3:7">
      <c r="C113" s="829"/>
      <c r="D113" s="829"/>
      <c r="E113" s="829"/>
      <c r="F113" s="829"/>
      <c r="G113" s="829"/>
    </row>
    <row r="114" spans="3:7">
      <c r="C114" s="829"/>
      <c r="D114" s="829"/>
      <c r="E114" s="829"/>
      <c r="F114" s="829"/>
      <c r="G114" s="829"/>
    </row>
  </sheetData>
  <mergeCells count="65">
    <mergeCell ref="A2:I2"/>
    <mergeCell ref="J3:U3"/>
    <mergeCell ref="V3:AG3"/>
    <mergeCell ref="AH3:AS3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G49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66:G66"/>
    <mergeCell ref="C67:G67"/>
    <mergeCell ref="C68:G68"/>
    <mergeCell ref="C73:G73"/>
    <mergeCell ref="C74:G74"/>
    <mergeCell ref="C75:G75"/>
    <mergeCell ref="C76:G76"/>
    <mergeCell ref="C77:G77"/>
    <mergeCell ref="C78:G78"/>
    <mergeCell ref="C85:G85"/>
    <mergeCell ref="C86:G86"/>
    <mergeCell ref="C87:G87"/>
    <mergeCell ref="C88:G88"/>
    <mergeCell ref="C79:G79"/>
    <mergeCell ref="C80:G80"/>
    <mergeCell ref="C81:G81"/>
    <mergeCell ref="C82:G82"/>
    <mergeCell ref="C83:G83"/>
    <mergeCell ref="C99:G99"/>
    <mergeCell ref="C100:G100"/>
    <mergeCell ref="C101:G101"/>
    <mergeCell ref="C102:G102"/>
    <mergeCell ref="C38:G38"/>
    <mergeCell ref="C94:G94"/>
    <mergeCell ref="C95:G95"/>
    <mergeCell ref="C96:G96"/>
    <mergeCell ref="C97:G97"/>
    <mergeCell ref="C98:G98"/>
    <mergeCell ref="C89:G89"/>
    <mergeCell ref="C90:G90"/>
    <mergeCell ref="C91:G91"/>
    <mergeCell ref="C92:G92"/>
    <mergeCell ref="C93:G93"/>
    <mergeCell ref="C84:G84"/>
  </mergeCells>
  <conditionalFormatting sqref="N1">
    <cfRule type="cellIs" dxfId="517" priority="10" operator="greaterThan">
      <formula>0</formula>
    </cfRule>
    <cfRule type="cellIs" dxfId="516" priority="11" operator="lessThan">
      <formula>0</formula>
    </cfRule>
  </conditionalFormatting>
  <conditionalFormatting sqref="P1">
    <cfRule type="cellIs" dxfId="515" priority="8" operator="greaterThan">
      <formula>0</formula>
    </cfRule>
    <cfRule type="cellIs" dxfId="514" priority="9" operator="lessThan">
      <formula>0</formula>
    </cfRule>
  </conditionalFormatting>
  <conditionalFormatting sqref="L1">
    <cfRule type="cellIs" dxfId="513" priority="6" operator="greaterThan">
      <formula>0</formula>
    </cfRule>
    <cfRule type="cellIs" dxfId="512" priority="7" operator="lessThan">
      <formula>0</formula>
    </cfRule>
  </conditionalFormatting>
  <conditionalFormatting sqref="T1">
    <cfRule type="cellIs" dxfId="511" priority="4" operator="greaterThan">
      <formula>0</formula>
    </cfRule>
    <cfRule type="cellIs" dxfId="510" priority="5" operator="lessThan">
      <formula>0</formula>
    </cfRule>
  </conditionalFormatting>
  <conditionalFormatting sqref="R1">
    <cfRule type="cellIs" dxfId="509" priority="2" operator="greaterThan">
      <formula>0</formula>
    </cfRule>
    <cfRule type="cellIs" dxfId="508" priority="3" operator="lessThan">
      <formula>0</formula>
    </cfRule>
  </conditionalFormatting>
  <conditionalFormatting sqref="J5:AS34">
    <cfRule type="cellIs" dxfId="507" priority="1" operator="equal">
      <formula>0</formula>
    </cfRule>
  </conditionalFormatting>
  <dataValidations xWindow="276" yWindow="437" count="2">
    <dataValidation allowBlank="1" showInputMessage="1" showErrorMessage="1" promptTitle="Coste para autónomos" prompt="Autònom: 283,32€   Empresarial: 364,23€_x000a_Bonificaciones autónomos any 2019:_x000a_0 a 12 meses: 60€_x000a_13 a 18 meses: 141,6€_x000a_19 a 24 meses: 198,32€_x000a_19 a 36 meses (homes menors 30 anys dones 35 anys): 198,32€_x000a_" sqref="A72" xr:uid="{00000000-0002-0000-0400-000000000000}"/>
    <dataValidation allowBlank="1" showInputMessage="1" showErrorMessage="1" promptTitle="Coste para autónomos 2018" prompt="Quota mínima:     275,02€     Autònoms  societaris: 358,53€_x000a__x000a_Bonificaciones autónomos:_x000a_0 a 12 meses: 50€_x000a_13 a 18 meses: 50% de 275,02€ = 137,51€_x000a_19 a 24 meses (36 meses para &lt;30 años): 70% = 192,52 €_x000a__x000a_" sqref="H72:I72" xr:uid="{00000000-0002-0000-0400-000001000000}"/>
  </dataValidation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4">
    <tabColor rgb="FFFF0000"/>
    <pageSetUpPr fitToPage="1"/>
  </sheetPr>
  <dimension ref="A1:AL74"/>
  <sheetViews>
    <sheetView zoomScale="118" zoomScaleNormal="118" workbookViewId="0">
      <pane xSplit="2" ySplit="4" topLeftCell="C63" activePane="bottomRight" state="frozen"/>
      <selection pane="topRight" activeCell="E1" sqref="E1"/>
      <selection pane="bottomLeft" activeCell="A7" sqref="A7"/>
      <selection pane="bottomRight" activeCell="A26" sqref="A26"/>
    </sheetView>
  </sheetViews>
  <sheetFormatPr baseColWidth="10" defaultColWidth="11.42578125" defaultRowHeight="15.75" outlineLevelRow="1"/>
  <cols>
    <col min="1" max="1" width="4.140625" style="313" customWidth="1"/>
    <col min="2" max="2" width="44.85546875" style="313" customWidth="1"/>
    <col min="3" max="6" width="9.7109375" style="313" customWidth="1"/>
    <col min="7" max="7" width="10.28515625" style="313" bestFit="1" customWidth="1"/>
    <col min="8" max="12" width="9.7109375" style="313" customWidth="1"/>
    <col min="13" max="13" width="11.28515625" style="313" customWidth="1"/>
    <col min="14" max="38" width="9.7109375" style="313" customWidth="1"/>
    <col min="39" max="16384" width="11.42578125" style="313"/>
  </cols>
  <sheetData>
    <row r="1" spans="1:38" ht="29.25" customHeight="1" thickBot="1">
      <c r="C1" s="315" t="s">
        <v>121</v>
      </c>
      <c r="D1" s="316" t="s">
        <v>242</v>
      </c>
      <c r="E1" s="317">
        <f>+Ventas!F1</f>
        <v>0</v>
      </c>
      <c r="F1" s="318" t="s">
        <v>243</v>
      </c>
      <c r="G1" s="317">
        <f ca="1">+Resultados!$C$25</f>
        <v>0</v>
      </c>
      <c r="H1" s="316" t="s">
        <v>244</v>
      </c>
      <c r="I1" s="319" t="str">
        <f>+'Resultado x Actividad'!$S$15</f>
        <v/>
      </c>
      <c r="J1" s="318" t="s">
        <v>245</v>
      </c>
      <c r="K1" s="302">
        <f ca="1">IF(ISERROR(+Resultados!$C$27),0,(+Resultados!$C$27))</f>
        <v>0</v>
      </c>
      <c r="L1" s="318" t="s">
        <v>246</v>
      </c>
      <c r="M1" s="317">
        <f ca="1">MIN('Tesorería mensual'!$C$47:$N$47)</f>
        <v>0</v>
      </c>
    </row>
    <row r="2" spans="1:38" ht="15" customHeight="1"/>
    <row r="3" spans="1:38">
      <c r="A3" s="406"/>
      <c r="B3" s="453"/>
      <c r="C3" s="1241" t="s">
        <v>121</v>
      </c>
      <c r="D3" s="1241"/>
      <c r="E3" s="1241"/>
      <c r="F3" s="1241"/>
      <c r="G3" s="1241"/>
      <c r="H3" s="1241"/>
      <c r="I3" s="1241"/>
      <c r="J3" s="1241"/>
      <c r="K3" s="1241"/>
      <c r="L3" s="1241"/>
      <c r="M3" s="1241"/>
      <c r="N3" s="1241"/>
      <c r="O3" s="1242" t="s">
        <v>122</v>
      </c>
      <c r="P3" s="1243"/>
      <c r="Q3" s="1243"/>
      <c r="R3" s="1243"/>
      <c r="S3" s="1243"/>
      <c r="T3" s="1243"/>
      <c r="U3" s="1243"/>
      <c r="V3" s="1243"/>
      <c r="W3" s="1243"/>
      <c r="X3" s="1243"/>
      <c r="Y3" s="1243"/>
      <c r="Z3" s="1244"/>
      <c r="AA3" s="1241" t="s">
        <v>123</v>
      </c>
      <c r="AB3" s="1241"/>
      <c r="AC3" s="1241"/>
      <c r="AD3" s="1241"/>
      <c r="AE3" s="1241"/>
      <c r="AF3" s="1241"/>
      <c r="AG3" s="1241"/>
      <c r="AH3" s="1241"/>
      <c r="AI3" s="1241"/>
      <c r="AJ3" s="1241"/>
      <c r="AK3" s="1241"/>
      <c r="AL3" s="1241"/>
    </row>
    <row r="4" spans="1:38" s="287" customFormat="1" ht="19.5" thickBot="1">
      <c r="B4" s="453"/>
      <c r="C4" s="310">
        <f>+Cuestionario!$C$11</f>
        <v>44197</v>
      </c>
      <c r="D4" s="310">
        <f>EDATE(C4,1)</f>
        <v>44228</v>
      </c>
      <c r="E4" s="310">
        <f t="shared" ref="E4:AL4" si="0">EDATE(D4,1)</f>
        <v>44256</v>
      </c>
      <c r="F4" s="310">
        <f t="shared" si="0"/>
        <v>44287</v>
      </c>
      <c r="G4" s="310">
        <f t="shared" si="0"/>
        <v>44317</v>
      </c>
      <c r="H4" s="310">
        <f t="shared" si="0"/>
        <v>44348</v>
      </c>
      <c r="I4" s="310">
        <f t="shared" si="0"/>
        <v>44378</v>
      </c>
      <c r="J4" s="310">
        <f t="shared" si="0"/>
        <v>44409</v>
      </c>
      <c r="K4" s="310">
        <f t="shared" si="0"/>
        <v>44440</v>
      </c>
      <c r="L4" s="310">
        <f t="shared" si="0"/>
        <v>44470</v>
      </c>
      <c r="M4" s="310">
        <f t="shared" si="0"/>
        <v>44501</v>
      </c>
      <c r="N4" s="323">
        <f t="shared" si="0"/>
        <v>44531</v>
      </c>
      <c r="O4" s="324">
        <f t="shared" si="0"/>
        <v>44562</v>
      </c>
      <c r="P4" s="325">
        <f t="shared" si="0"/>
        <v>44593</v>
      </c>
      <c r="Q4" s="325">
        <f t="shared" si="0"/>
        <v>44621</v>
      </c>
      <c r="R4" s="325">
        <f t="shared" si="0"/>
        <v>44652</v>
      </c>
      <c r="S4" s="325">
        <f t="shared" si="0"/>
        <v>44682</v>
      </c>
      <c r="T4" s="325">
        <f t="shared" si="0"/>
        <v>44713</v>
      </c>
      <c r="U4" s="325">
        <f t="shared" si="0"/>
        <v>44743</v>
      </c>
      <c r="V4" s="325">
        <f t="shared" si="0"/>
        <v>44774</v>
      </c>
      <c r="W4" s="325">
        <f t="shared" si="0"/>
        <v>44805</v>
      </c>
      <c r="X4" s="325">
        <f t="shared" si="0"/>
        <v>44835</v>
      </c>
      <c r="Y4" s="325">
        <f t="shared" si="0"/>
        <v>44866</v>
      </c>
      <c r="Z4" s="326">
        <f t="shared" si="0"/>
        <v>44896</v>
      </c>
      <c r="AA4" s="310">
        <f t="shared" si="0"/>
        <v>44927</v>
      </c>
      <c r="AB4" s="310">
        <f t="shared" si="0"/>
        <v>44958</v>
      </c>
      <c r="AC4" s="310">
        <f t="shared" si="0"/>
        <v>44986</v>
      </c>
      <c r="AD4" s="310">
        <f t="shared" si="0"/>
        <v>45017</v>
      </c>
      <c r="AE4" s="310">
        <f t="shared" si="0"/>
        <v>45047</v>
      </c>
      <c r="AF4" s="310">
        <f t="shared" si="0"/>
        <v>45078</v>
      </c>
      <c r="AG4" s="310">
        <f t="shared" si="0"/>
        <v>45108</v>
      </c>
      <c r="AH4" s="310">
        <f t="shared" si="0"/>
        <v>45139</v>
      </c>
      <c r="AI4" s="310">
        <f t="shared" si="0"/>
        <v>45170</v>
      </c>
      <c r="AJ4" s="310">
        <f t="shared" si="0"/>
        <v>45200</v>
      </c>
      <c r="AK4" s="310">
        <f t="shared" si="0"/>
        <v>45231</v>
      </c>
      <c r="AL4" s="323">
        <f t="shared" si="0"/>
        <v>45261</v>
      </c>
    </row>
    <row r="5" spans="1:38" s="287" customFormat="1" ht="18.75">
      <c r="A5" s="1248" t="s">
        <v>456</v>
      </c>
      <c r="B5" s="451" t="s">
        <v>465</v>
      </c>
      <c r="C5" s="454" t="e">
        <f>+#REF!</f>
        <v>#REF!</v>
      </c>
      <c r="D5" s="454" t="e">
        <f>+#REF!</f>
        <v>#REF!</v>
      </c>
      <c r="E5" s="454" t="e">
        <f>+#REF!</f>
        <v>#REF!</v>
      </c>
      <c r="F5" s="454" t="e">
        <f>+#REF!</f>
        <v>#REF!</v>
      </c>
      <c r="G5" s="454" t="e">
        <f>+#REF!</f>
        <v>#REF!</v>
      </c>
      <c r="H5" s="454" t="e">
        <f>+#REF!</f>
        <v>#REF!</v>
      </c>
      <c r="I5" s="454" t="e">
        <f>+#REF!</f>
        <v>#REF!</v>
      </c>
      <c r="J5" s="454" t="e">
        <f>+#REF!</f>
        <v>#REF!</v>
      </c>
      <c r="K5" s="454" t="e">
        <f>+#REF!</f>
        <v>#REF!</v>
      </c>
      <c r="L5" s="454" t="e">
        <f>+#REF!</f>
        <v>#REF!</v>
      </c>
      <c r="M5" s="454" t="e">
        <f>+#REF!</f>
        <v>#REF!</v>
      </c>
      <c r="N5" s="454" t="e">
        <f>+#REF!</f>
        <v>#REF!</v>
      </c>
      <c r="O5" s="454" t="e">
        <f>+#REF!</f>
        <v>#REF!</v>
      </c>
      <c r="P5" s="454" t="e">
        <f>+#REF!</f>
        <v>#REF!</v>
      </c>
      <c r="Q5" s="454" t="e">
        <f>+#REF!</f>
        <v>#REF!</v>
      </c>
      <c r="R5" s="454" t="e">
        <f>+#REF!</f>
        <v>#REF!</v>
      </c>
      <c r="S5" s="454" t="e">
        <f>+#REF!</f>
        <v>#REF!</v>
      </c>
      <c r="T5" s="454" t="e">
        <f>+#REF!</f>
        <v>#REF!</v>
      </c>
      <c r="U5" s="454" t="e">
        <f>+#REF!</f>
        <v>#REF!</v>
      </c>
      <c r="V5" s="454" t="e">
        <f>+#REF!</f>
        <v>#REF!</v>
      </c>
      <c r="W5" s="454" t="e">
        <f>+#REF!</f>
        <v>#REF!</v>
      </c>
      <c r="X5" s="454" t="e">
        <f>+#REF!</f>
        <v>#REF!</v>
      </c>
      <c r="Y5" s="454" t="e">
        <f>+#REF!</f>
        <v>#REF!</v>
      </c>
      <c r="Z5" s="454" t="e">
        <f>+#REF!</f>
        <v>#REF!</v>
      </c>
      <c r="AA5" s="454" t="e">
        <f>+#REF!</f>
        <v>#REF!</v>
      </c>
      <c r="AB5" s="454" t="e">
        <f>+#REF!</f>
        <v>#REF!</v>
      </c>
      <c r="AC5" s="454" t="e">
        <f>+#REF!</f>
        <v>#REF!</v>
      </c>
      <c r="AD5" s="454" t="e">
        <f>+#REF!</f>
        <v>#REF!</v>
      </c>
      <c r="AE5" s="454" t="e">
        <f>+#REF!</f>
        <v>#REF!</v>
      </c>
      <c r="AF5" s="454" t="e">
        <f>+#REF!</f>
        <v>#REF!</v>
      </c>
      <c r="AG5" s="454" t="e">
        <f>+#REF!</f>
        <v>#REF!</v>
      </c>
      <c r="AH5" s="454" t="e">
        <f>+#REF!</f>
        <v>#REF!</v>
      </c>
      <c r="AI5" s="454" t="e">
        <f>+#REF!</f>
        <v>#REF!</v>
      </c>
      <c r="AJ5" s="454" t="e">
        <f>+#REF!</f>
        <v>#REF!</v>
      </c>
      <c r="AK5" s="454" t="e">
        <f>+#REF!</f>
        <v>#REF!</v>
      </c>
      <c r="AL5" s="454" t="e">
        <f>+#REF!</f>
        <v>#REF!</v>
      </c>
    </row>
    <row r="6" spans="1:38">
      <c r="A6" s="1249"/>
    </row>
    <row r="7" spans="1:38" s="287" customFormat="1" ht="18.75">
      <c r="A7" s="1249"/>
      <c r="B7" s="455" t="s">
        <v>467</v>
      </c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4"/>
      <c r="W7" s="454"/>
      <c r="X7" s="454"/>
      <c r="Y7" s="454"/>
      <c r="Z7" s="454"/>
      <c r="AA7" s="454"/>
      <c r="AB7" s="454"/>
      <c r="AC7" s="454"/>
      <c r="AD7" s="454"/>
      <c r="AE7" s="454"/>
      <c r="AF7" s="454"/>
      <c r="AG7" s="454"/>
      <c r="AH7" s="454"/>
      <c r="AI7" s="454"/>
      <c r="AJ7" s="454"/>
      <c r="AK7" s="454"/>
      <c r="AL7" s="454"/>
    </row>
    <row r="8" spans="1:38" s="287" customFormat="1" ht="18.75">
      <c r="A8" s="1249"/>
      <c r="B8" s="298" t="s">
        <v>514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12">
        <v>0</v>
      </c>
      <c r="X8" s="12">
        <v>0</v>
      </c>
      <c r="Y8" s="12">
        <v>0</v>
      </c>
      <c r="Z8" s="12">
        <v>0</v>
      </c>
      <c r="AA8" s="12">
        <v>0</v>
      </c>
      <c r="AB8" s="12">
        <v>0</v>
      </c>
      <c r="AC8" s="12">
        <v>0</v>
      </c>
      <c r="AD8" s="12">
        <v>0</v>
      </c>
      <c r="AE8" s="12">
        <v>0</v>
      </c>
      <c r="AF8" s="12">
        <v>0</v>
      </c>
      <c r="AG8" s="12">
        <v>0</v>
      </c>
      <c r="AH8" s="12">
        <v>0</v>
      </c>
      <c r="AI8" s="12">
        <v>0</v>
      </c>
      <c r="AJ8" s="12">
        <v>0</v>
      </c>
      <c r="AK8" s="12">
        <v>0</v>
      </c>
      <c r="AL8" s="12">
        <v>0</v>
      </c>
    </row>
    <row r="9" spans="1:38" s="298" customFormat="1" ht="18.75">
      <c r="A9" s="1249"/>
      <c r="B9" s="298" t="s">
        <v>46</v>
      </c>
    </row>
    <row r="10" spans="1:38" s="287" customFormat="1" ht="18.75">
      <c r="A10" s="1249"/>
      <c r="B10" s="298">
        <f>+Catálogo!B6</f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2">
        <v>0</v>
      </c>
      <c r="AK10" s="12">
        <v>0</v>
      </c>
      <c r="AL10" s="12">
        <v>0</v>
      </c>
    </row>
    <row r="11" spans="1:38" s="287" customFormat="1" ht="18.75">
      <c r="A11" s="1249"/>
      <c r="B11" s="298">
        <f>+Catálogo!B7</f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</row>
    <row r="12" spans="1:38" s="287" customFormat="1" ht="18.75">
      <c r="A12" s="1249"/>
      <c r="B12" s="298">
        <f>+Catálogo!B8</f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</row>
    <row r="13" spans="1:38" s="287" customFormat="1" ht="19.5" customHeight="1">
      <c r="A13" s="1249"/>
      <c r="B13" s="298">
        <f>+Catálogo!B9</f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</row>
    <row r="14" spans="1:38" s="287" customFormat="1" ht="18.75">
      <c r="A14" s="1249"/>
      <c r="B14" s="298">
        <f>+Catálogo!B10</f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</row>
    <row r="15" spans="1:38" s="287" customFormat="1" ht="18.75" hidden="1" outlineLevel="1">
      <c r="A15" s="1249"/>
      <c r="B15" s="307">
        <f>+Catálogo!B11</f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</row>
    <row r="16" spans="1:38" s="287" customFormat="1" ht="18.75" hidden="1" outlineLevel="1">
      <c r="A16" s="1249"/>
      <c r="B16" s="307">
        <f>+Catálogo!B12</f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</row>
    <row r="17" spans="1:38" s="287" customFormat="1" ht="18.75" hidden="1" outlineLevel="1">
      <c r="A17" s="1249"/>
      <c r="B17" s="307">
        <f>+Catálogo!B13</f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</row>
    <row r="18" spans="1:38" s="287" customFormat="1" ht="18.75" hidden="1" outlineLevel="1">
      <c r="A18" s="1249"/>
      <c r="B18" s="307">
        <f>+Catálogo!B14</f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</row>
    <row r="19" spans="1:38" s="287" customFormat="1" ht="18.75" hidden="1" outlineLevel="1">
      <c r="A19" s="1249"/>
      <c r="B19" s="307">
        <f>+Catálogo!B15</f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</row>
    <row r="20" spans="1:38" s="287" customFormat="1" ht="18.75" hidden="1" outlineLevel="1">
      <c r="A20" s="1249"/>
      <c r="B20" s="307">
        <f>+Catálogo!B16</f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  <c r="AJ20" s="12">
        <v>0</v>
      </c>
      <c r="AK20" s="12">
        <v>0</v>
      </c>
      <c r="AL20" s="12">
        <v>0</v>
      </c>
    </row>
    <row r="21" spans="1:38" s="287" customFormat="1" ht="18.75" hidden="1" outlineLevel="1">
      <c r="A21" s="1249"/>
      <c r="B21" s="307">
        <f>+Catálogo!B17</f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</row>
    <row r="22" spans="1:38" s="287" customFormat="1" ht="18.75" hidden="1" outlineLevel="1">
      <c r="A22" s="1249"/>
      <c r="B22" s="307">
        <f>+Catálogo!B18</f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</row>
    <row r="23" spans="1:38" s="287" customFormat="1" ht="18.75" hidden="1" outlineLevel="1">
      <c r="A23" s="1249"/>
      <c r="B23" s="307">
        <f>+Catálogo!B19</f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</row>
    <row r="24" spans="1:38" s="287" customFormat="1" ht="18.75" hidden="1" outlineLevel="1">
      <c r="A24" s="1249"/>
      <c r="B24" s="307">
        <f>+Catálogo!B20</f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</row>
    <row r="25" spans="1:38" s="287" customFormat="1" ht="19.5" collapsed="1" thickBot="1">
      <c r="A25" s="1250"/>
      <c r="B25" s="451" t="s">
        <v>443</v>
      </c>
      <c r="C25" s="454">
        <f>SUM(C10:C24)</f>
        <v>0</v>
      </c>
      <c r="D25" s="454">
        <f t="shared" ref="D25:AL25" si="1">SUM(D10:D24)</f>
        <v>0</v>
      </c>
      <c r="E25" s="454">
        <f t="shared" si="1"/>
        <v>0</v>
      </c>
      <c r="F25" s="454">
        <f t="shared" si="1"/>
        <v>0</v>
      </c>
      <c r="G25" s="454">
        <f t="shared" si="1"/>
        <v>0</v>
      </c>
      <c r="H25" s="454">
        <f t="shared" si="1"/>
        <v>0</v>
      </c>
      <c r="I25" s="454">
        <f t="shared" si="1"/>
        <v>0</v>
      </c>
      <c r="J25" s="454">
        <f t="shared" si="1"/>
        <v>0</v>
      </c>
      <c r="K25" s="454">
        <f t="shared" si="1"/>
        <v>0</v>
      </c>
      <c r="L25" s="454">
        <f t="shared" si="1"/>
        <v>0</v>
      </c>
      <c r="M25" s="454">
        <f t="shared" si="1"/>
        <v>0</v>
      </c>
      <c r="N25" s="454">
        <f t="shared" si="1"/>
        <v>0</v>
      </c>
      <c r="O25" s="454">
        <f t="shared" si="1"/>
        <v>0</v>
      </c>
      <c r="P25" s="454">
        <f t="shared" si="1"/>
        <v>0</v>
      </c>
      <c r="Q25" s="454">
        <f t="shared" si="1"/>
        <v>0</v>
      </c>
      <c r="R25" s="454">
        <f t="shared" si="1"/>
        <v>0</v>
      </c>
      <c r="S25" s="454">
        <f t="shared" si="1"/>
        <v>0</v>
      </c>
      <c r="T25" s="454">
        <f t="shared" si="1"/>
        <v>0</v>
      </c>
      <c r="U25" s="454">
        <f t="shared" si="1"/>
        <v>0</v>
      </c>
      <c r="V25" s="454">
        <f t="shared" si="1"/>
        <v>0</v>
      </c>
      <c r="W25" s="454">
        <f t="shared" si="1"/>
        <v>0</v>
      </c>
      <c r="X25" s="454">
        <f t="shared" si="1"/>
        <v>0</v>
      </c>
      <c r="Y25" s="454">
        <f t="shared" si="1"/>
        <v>0</v>
      </c>
      <c r="Z25" s="454">
        <f t="shared" si="1"/>
        <v>0</v>
      </c>
      <c r="AA25" s="454">
        <f t="shared" si="1"/>
        <v>0</v>
      </c>
      <c r="AB25" s="454">
        <f t="shared" si="1"/>
        <v>0</v>
      </c>
      <c r="AC25" s="454">
        <f t="shared" si="1"/>
        <v>0</v>
      </c>
      <c r="AD25" s="454">
        <f t="shared" si="1"/>
        <v>0</v>
      </c>
      <c r="AE25" s="454">
        <f t="shared" si="1"/>
        <v>0</v>
      </c>
      <c r="AF25" s="454">
        <f t="shared" si="1"/>
        <v>0</v>
      </c>
      <c r="AG25" s="454">
        <f t="shared" si="1"/>
        <v>0</v>
      </c>
      <c r="AH25" s="454">
        <f t="shared" si="1"/>
        <v>0</v>
      </c>
      <c r="AI25" s="454">
        <f t="shared" si="1"/>
        <v>0</v>
      </c>
      <c r="AJ25" s="454">
        <f t="shared" si="1"/>
        <v>0</v>
      </c>
      <c r="AK25" s="454">
        <f t="shared" si="1"/>
        <v>0</v>
      </c>
      <c r="AL25" s="454">
        <f t="shared" si="1"/>
        <v>0</v>
      </c>
    </row>
    <row r="26" spans="1:38" s="287" customFormat="1" ht="19.5" thickBot="1">
      <c r="B26" s="459"/>
      <c r="C26" s="454"/>
      <c r="D26" s="454"/>
      <c r="E26" s="454"/>
      <c r="F26" s="454"/>
      <c r="G26" s="454"/>
      <c r="H26" s="454"/>
      <c r="I26" s="454"/>
      <c r="J26" s="454"/>
      <c r="K26" s="454"/>
      <c r="L26" s="454"/>
      <c r="M26" s="454"/>
      <c r="N26" s="454"/>
      <c r="O26" s="454"/>
      <c r="P26" s="454"/>
      <c r="Q26" s="454"/>
      <c r="R26" s="454"/>
      <c r="S26" s="454"/>
      <c r="T26" s="454"/>
      <c r="U26" s="454"/>
      <c r="V26" s="454"/>
      <c r="W26" s="454"/>
      <c r="X26" s="454"/>
      <c r="Y26" s="454"/>
      <c r="Z26" s="454"/>
      <c r="AA26" s="454"/>
      <c r="AB26" s="454"/>
      <c r="AC26" s="454"/>
      <c r="AD26" s="454"/>
      <c r="AE26" s="454"/>
      <c r="AF26" s="454"/>
      <c r="AG26" s="454"/>
      <c r="AH26" s="454"/>
      <c r="AI26" s="454"/>
      <c r="AJ26" s="454"/>
      <c r="AK26" s="454"/>
      <c r="AL26" s="454"/>
    </row>
    <row r="27" spans="1:38" ht="18.75">
      <c r="A27" s="1245" t="s">
        <v>458</v>
      </c>
      <c r="B27" s="451" t="s">
        <v>466</v>
      </c>
      <c r="C27" s="454" t="e">
        <f>+#REF!</f>
        <v>#REF!</v>
      </c>
      <c r="D27" s="454" t="e">
        <f>+#REF!</f>
        <v>#REF!</v>
      </c>
      <c r="E27" s="454" t="e">
        <f>+#REF!</f>
        <v>#REF!</v>
      </c>
      <c r="F27" s="454" t="e">
        <f>+#REF!</f>
        <v>#REF!</v>
      </c>
      <c r="G27" s="454" t="e">
        <f>+#REF!</f>
        <v>#REF!</v>
      </c>
      <c r="H27" s="454" t="e">
        <f>+#REF!</f>
        <v>#REF!</v>
      </c>
      <c r="I27" s="454" t="e">
        <f>+#REF!</f>
        <v>#REF!</v>
      </c>
      <c r="J27" s="454" t="e">
        <f>+#REF!</f>
        <v>#REF!</v>
      </c>
      <c r="K27" s="454" t="e">
        <f>+#REF!</f>
        <v>#REF!</v>
      </c>
      <c r="L27" s="454" t="e">
        <f>+#REF!</f>
        <v>#REF!</v>
      </c>
      <c r="M27" s="454" t="e">
        <f>+#REF!</f>
        <v>#REF!</v>
      </c>
      <c r="N27" s="454" t="e">
        <f>+#REF!</f>
        <v>#REF!</v>
      </c>
      <c r="O27" s="454" t="e">
        <f>+#REF!</f>
        <v>#REF!</v>
      </c>
      <c r="P27" s="454" t="e">
        <f>+#REF!</f>
        <v>#REF!</v>
      </c>
      <c r="Q27" s="454" t="e">
        <f>+#REF!</f>
        <v>#REF!</v>
      </c>
      <c r="R27" s="454" t="e">
        <f>+#REF!</f>
        <v>#REF!</v>
      </c>
      <c r="S27" s="454" t="e">
        <f>+#REF!</f>
        <v>#REF!</v>
      </c>
      <c r="T27" s="454" t="e">
        <f>+#REF!</f>
        <v>#REF!</v>
      </c>
      <c r="U27" s="454" t="e">
        <f>+#REF!</f>
        <v>#REF!</v>
      </c>
      <c r="V27" s="454" t="e">
        <f>+#REF!</f>
        <v>#REF!</v>
      </c>
      <c r="W27" s="454" t="e">
        <f>+#REF!</f>
        <v>#REF!</v>
      </c>
      <c r="X27" s="454" t="e">
        <f>+#REF!</f>
        <v>#REF!</v>
      </c>
      <c r="Y27" s="454" t="e">
        <f>+#REF!</f>
        <v>#REF!</v>
      </c>
      <c r="Z27" s="454" t="e">
        <f>+#REF!</f>
        <v>#REF!</v>
      </c>
      <c r="AA27" s="454" t="e">
        <f>+#REF!</f>
        <v>#REF!</v>
      </c>
      <c r="AB27" s="454" t="e">
        <f>+#REF!</f>
        <v>#REF!</v>
      </c>
      <c r="AC27" s="454" t="e">
        <f>+#REF!</f>
        <v>#REF!</v>
      </c>
      <c r="AD27" s="454" t="e">
        <f>+#REF!</f>
        <v>#REF!</v>
      </c>
      <c r="AE27" s="454" t="e">
        <f>+#REF!</f>
        <v>#REF!</v>
      </c>
      <c r="AF27" s="454" t="e">
        <f>+#REF!</f>
        <v>#REF!</v>
      </c>
      <c r="AG27" s="454" t="e">
        <f>+#REF!</f>
        <v>#REF!</v>
      </c>
      <c r="AH27" s="454" t="e">
        <f>+#REF!</f>
        <v>#REF!</v>
      </c>
      <c r="AI27" s="454" t="e">
        <f>+#REF!</f>
        <v>#REF!</v>
      </c>
      <c r="AJ27" s="454" t="e">
        <f>+#REF!</f>
        <v>#REF!</v>
      </c>
      <c r="AK27" s="454" t="e">
        <f>+#REF!</f>
        <v>#REF!</v>
      </c>
      <c r="AL27" s="454" t="e">
        <f>+#REF!</f>
        <v>#REF!</v>
      </c>
    </row>
    <row r="28" spans="1:38">
      <c r="A28" s="1246"/>
      <c r="D28" s="313" t="s">
        <v>46</v>
      </c>
    </row>
    <row r="29" spans="1:38" ht="18.75" customHeight="1">
      <c r="A29" s="1246"/>
      <c r="B29" s="455" t="s">
        <v>452</v>
      </c>
      <c r="C29" s="454" t="s">
        <v>46</v>
      </c>
      <c r="D29" s="454"/>
      <c r="E29" s="454"/>
      <c r="F29" s="454" t="s">
        <v>46</v>
      </c>
      <c r="G29" s="454"/>
      <c r="H29" s="454"/>
      <c r="I29" s="454"/>
      <c r="J29" s="454"/>
      <c r="K29" s="454"/>
      <c r="L29" s="454"/>
      <c r="M29" s="454"/>
      <c r="N29" s="454"/>
      <c r="O29" s="454"/>
      <c r="P29" s="454"/>
      <c r="Q29" s="454"/>
      <c r="R29" s="454"/>
      <c r="S29" s="454"/>
      <c r="T29" s="454"/>
      <c r="U29" s="454"/>
      <c r="V29" s="454"/>
      <c r="W29" s="454"/>
      <c r="X29" s="454"/>
      <c r="Y29" s="454"/>
      <c r="Z29" s="454"/>
      <c r="AA29" s="454"/>
      <c r="AB29" s="454"/>
      <c r="AC29" s="454"/>
      <c r="AD29" s="454"/>
      <c r="AE29" s="454"/>
      <c r="AF29" s="454"/>
      <c r="AG29" s="454"/>
      <c r="AH29" s="454"/>
      <c r="AI29" s="454"/>
      <c r="AJ29" s="454"/>
      <c r="AK29" s="454"/>
      <c r="AL29" s="454"/>
    </row>
    <row r="30" spans="1:38" ht="18.75">
      <c r="A30" s="1246"/>
      <c r="B30" s="307">
        <f>+Catálogo!B6</f>
        <v>0</v>
      </c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</row>
    <row r="31" spans="1:38" ht="18.75">
      <c r="A31" s="1246"/>
      <c r="B31" s="307">
        <f>+Catálogo!B7</f>
        <v>0</v>
      </c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</row>
    <row r="32" spans="1:38" ht="18.75">
      <c r="A32" s="1246"/>
      <c r="B32" s="307">
        <f>+Catálogo!B8</f>
        <v>0</v>
      </c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</row>
    <row r="33" spans="1:38" ht="18.75">
      <c r="A33" s="1246"/>
      <c r="B33" s="307">
        <f>+Catálogo!B9</f>
        <v>0</v>
      </c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</row>
    <row r="34" spans="1:38" ht="18.75">
      <c r="A34" s="1246"/>
      <c r="B34" s="307">
        <f>+Catálogo!B10</f>
        <v>0</v>
      </c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</row>
    <row r="35" spans="1:38" ht="18.75" hidden="1" customHeight="1" outlineLevel="1">
      <c r="A35" s="1246"/>
      <c r="B35" s="307">
        <f>+Catálogo!B11</f>
        <v>0</v>
      </c>
      <c r="C35" s="404"/>
      <c r="D35" s="404"/>
      <c r="E35" s="404"/>
      <c r="F35" s="404"/>
      <c r="G35" s="404"/>
      <c r="H35" s="404"/>
      <c r="I35" s="404"/>
      <c r="J35" s="404"/>
      <c r="K35" s="404"/>
      <c r="L35" s="404"/>
      <c r="M35" s="404"/>
      <c r="N35" s="404"/>
      <c r="O35" s="404"/>
      <c r="P35" s="404"/>
      <c r="Q35" s="404"/>
      <c r="R35" s="404"/>
      <c r="S35" s="404"/>
      <c r="T35" s="404"/>
      <c r="U35" s="404"/>
      <c r="V35" s="404"/>
      <c r="W35" s="404"/>
      <c r="X35" s="404"/>
      <c r="Y35" s="404"/>
      <c r="Z35" s="404"/>
      <c r="AA35" s="404"/>
      <c r="AB35" s="404"/>
      <c r="AC35" s="404"/>
      <c r="AD35" s="404"/>
      <c r="AE35" s="404"/>
      <c r="AF35" s="404"/>
      <c r="AG35" s="404"/>
      <c r="AH35" s="404"/>
      <c r="AI35" s="404"/>
      <c r="AJ35" s="404"/>
      <c r="AK35" s="404"/>
      <c r="AL35" s="404"/>
    </row>
    <row r="36" spans="1:38" ht="18.75" hidden="1" customHeight="1" outlineLevel="1">
      <c r="A36" s="1246"/>
      <c r="B36" s="307">
        <f>+Catálogo!B12</f>
        <v>0</v>
      </c>
      <c r="C36" s="404"/>
      <c r="D36" s="404"/>
      <c r="E36" s="404"/>
      <c r="F36" s="404"/>
      <c r="G36" s="404"/>
      <c r="H36" s="404"/>
      <c r="I36" s="404"/>
      <c r="J36" s="404"/>
      <c r="K36" s="404"/>
      <c r="L36" s="404"/>
      <c r="M36" s="404"/>
      <c r="N36" s="404"/>
      <c r="O36" s="404"/>
      <c r="P36" s="404"/>
      <c r="Q36" s="404"/>
      <c r="R36" s="404"/>
      <c r="S36" s="404"/>
      <c r="T36" s="404"/>
      <c r="U36" s="404"/>
      <c r="V36" s="404"/>
      <c r="W36" s="404"/>
      <c r="X36" s="404"/>
      <c r="Y36" s="404"/>
      <c r="Z36" s="404"/>
      <c r="AA36" s="404"/>
      <c r="AB36" s="404"/>
      <c r="AC36" s="404"/>
      <c r="AD36" s="404"/>
      <c r="AE36" s="404"/>
      <c r="AF36" s="404"/>
      <c r="AG36" s="404"/>
      <c r="AH36" s="404"/>
      <c r="AI36" s="404"/>
      <c r="AJ36" s="404"/>
      <c r="AK36" s="404"/>
      <c r="AL36" s="404"/>
    </row>
    <row r="37" spans="1:38" ht="18.75" hidden="1" customHeight="1" outlineLevel="1">
      <c r="A37" s="1246"/>
      <c r="B37" s="307">
        <f>+Catálogo!B13</f>
        <v>0</v>
      </c>
      <c r="C37" s="404"/>
      <c r="D37" s="404"/>
      <c r="E37" s="404"/>
      <c r="F37" s="404"/>
      <c r="G37" s="404"/>
      <c r="H37" s="404"/>
      <c r="I37" s="404"/>
      <c r="J37" s="404"/>
      <c r="K37" s="404"/>
      <c r="L37" s="404"/>
      <c r="M37" s="404"/>
      <c r="N37" s="404"/>
      <c r="O37" s="404"/>
      <c r="P37" s="404"/>
      <c r="Q37" s="404"/>
      <c r="R37" s="404"/>
      <c r="S37" s="404"/>
      <c r="T37" s="404"/>
      <c r="U37" s="404"/>
      <c r="V37" s="404"/>
      <c r="W37" s="404"/>
      <c r="X37" s="404"/>
      <c r="Y37" s="404"/>
      <c r="Z37" s="404"/>
      <c r="AA37" s="404"/>
      <c r="AB37" s="404"/>
      <c r="AC37" s="404"/>
      <c r="AD37" s="404"/>
      <c r="AE37" s="404"/>
      <c r="AF37" s="404"/>
      <c r="AG37" s="404"/>
      <c r="AH37" s="404"/>
      <c r="AI37" s="404"/>
      <c r="AJ37" s="404"/>
      <c r="AK37" s="404"/>
      <c r="AL37" s="404"/>
    </row>
    <row r="38" spans="1:38" ht="18.75" hidden="1" customHeight="1" outlineLevel="1">
      <c r="A38" s="1246"/>
      <c r="B38" s="307">
        <f>+Catálogo!B14</f>
        <v>0</v>
      </c>
      <c r="C38" s="404"/>
      <c r="D38" s="404"/>
      <c r="E38" s="404"/>
      <c r="F38" s="404"/>
      <c r="G38" s="404"/>
      <c r="H38" s="404"/>
      <c r="I38" s="404"/>
      <c r="J38" s="404"/>
      <c r="K38" s="404"/>
      <c r="L38" s="404"/>
      <c r="M38" s="404"/>
      <c r="N38" s="404"/>
      <c r="O38" s="404"/>
      <c r="P38" s="404"/>
      <c r="Q38" s="404"/>
      <c r="R38" s="404"/>
      <c r="S38" s="404"/>
      <c r="T38" s="404"/>
      <c r="U38" s="404"/>
      <c r="V38" s="404"/>
      <c r="W38" s="404"/>
      <c r="X38" s="404"/>
      <c r="Y38" s="404"/>
      <c r="Z38" s="404"/>
      <c r="AA38" s="404"/>
      <c r="AB38" s="404"/>
      <c r="AC38" s="404"/>
      <c r="AD38" s="404"/>
      <c r="AE38" s="404"/>
      <c r="AF38" s="404"/>
      <c r="AG38" s="404"/>
      <c r="AH38" s="404"/>
      <c r="AI38" s="404"/>
      <c r="AJ38" s="404"/>
      <c r="AK38" s="404"/>
      <c r="AL38" s="404"/>
    </row>
    <row r="39" spans="1:38" ht="18.75" hidden="1" customHeight="1" outlineLevel="1">
      <c r="A39" s="1246"/>
      <c r="B39" s="307">
        <f>+Catálogo!B15</f>
        <v>0</v>
      </c>
      <c r="C39" s="404"/>
      <c r="D39" s="404"/>
      <c r="E39" s="404"/>
      <c r="F39" s="404"/>
      <c r="G39" s="404"/>
      <c r="H39" s="404"/>
      <c r="I39" s="404"/>
      <c r="J39" s="404"/>
      <c r="K39" s="404"/>
      <c r="L39" s="404"/>
      <c r="M39" s="404"/>
      <c r="N39" s="404"/>
      <c r="O39" s="404"/>
      <c r="P39" s="404"/>
      <c r="Q39" s="404"/>
      <c r="R39" s="404"/>
      <c r="S39" s="404"/>
      <c r="T39" s="404"/>
      <c r="U39" s="404"/>
      <c r="V39" s="404"/>
      <c r="W39" s="404"/>
      <c r="X39" s="404"/>
      <c r="Y39" s="404"/>
      <c r="Z39" s="404"/>
      <c r="AA39" s="404"/>
      <c r="AB39" s="404"/>
      <c r="AC39" s="404"/>
      <c r="AD39" s="404"/>
      <c r="AE39" s="404"/>
      <c r="AF39" s="404"/>
      <c r="AG39" s="404"/>
      <c r="AH39" s="404"/>
      <c r="AI39" s="404"/>
      <c r="AJ39" s="404"/>
      <c r="AK39" s="404"/>
      <c r="AL39" s="404"/>
    </row>
    <row r="40" spans="1:38" ht="18.75" hidden="1" customHeight="1" outlineLevel="1">
      <c r="A40" s="1246"/>
      <c r="B40" s="307">
        <f>+Catálogo!B16</f>
        <v>0</v>
      </c>
      <c r="C40" s="404"/>
      <c r="D40" s="404"/>
      <c r="E40" s="404"/>
      <c r="F40" s="404"/>
      <c r="G40" s="404"/>
      <c r="H40" s="404"/>
      <c r="I40" s="404"/>
      <c r="J40" s="404"/>
      <c r="K40" s="404"/>
      <c r="L40" s="404"/>
      <c r="M40" s="404"/>
      <c r="N40" s="404"/>
      <c r="O40" s="404"/>
      <c r="P40" s="404"/>
      <c r="Q40" s="404"/>
      <c r="R40" s="404"/>
      <c r="S40" s="404"/>
      <c r="T40" s="404"/>
      <c r="U40" s="404"/>
      <c r="V40" s="404"/>
      <c r="W40" s="404"/>
      <c r="X40" s="404"/>
      <c r="Y40" s="404"/>
      <c r="Z40" s="404"/>
      <c r="AA40" s="404"/>
      <c r="AB40" s="404"/>
      <c r="AC40" s="404"/>
      <c r="AD40" s="404"/>
      <c r="AE40" s="404"/>
      <c r="AF40" s="404"/>
      <c r="AG40" s="404"/>
      <c r="AH40" s="404"/>
      <c r="AI40" s="404"/>
      <c r="AJ40" s="404"/>
      <c r="AK40" s="404"/>
      <c r="AL40" s="404"/>
    </row>
    <row r="41" spans="1:38" ht="18.75" hidden="1" customHeight="1" outlineLevel="1">
      <c r="A41" s="1246"/>
      <c r="B41" s="307">
        <f>+Catálogo!B17</f>
        <v>0</v>
      </c>
      <c r="C41" s="404"/>
      <c r="D41" s="404"/>
      <c r="E41" s="404"/>
      <c r="F41" s="404"/>
      <c r="G41" s="404"/>
      <c r="H41" s="404"/>
      <c r="I41" s="404"/>
      <c r="J41" s="404"/>
      <c r="K41" s="404"/>
      <c r="L41" s="404"/>
      <c r="M41" s="404"/>
      <c r="N41" s="404"/>
      <c r="O41" s="404"/>
      <c r="P41" s="404"/>
      <c r="Q41" s="404"/>
      <c r="R41" s="404"/>
      <c r="S41" s="404"/>
      <c r="T41" s="404"/>
      <c r="U41" s="404"/>
      <c r="V41" s="404"/>
      <c r="W41" s="404"/>
      <c r="X41" s="404"/>
      <c r="Y41" s="404"/>
      <c r="Z41" s="404"/>
      <c r="AA41" s="404"/>
      <c r="AB41" s="404"/>
      <c r="AC41" s="404"/>
      <c r="AD41" s="404"/>
      <c r="AE41" s="404"/>
      <c r="AF41" s="404"/>
      <c r="AG41" s="404"/>
      <c r="AH41" s="404"/>
      <c r="AI41" s="404"/>
      <c r="AJ41" s="404"/>
      <c r="AK41" s="404"/>
      <c r="AL41" s="404"/>
    </row>
    <row r="42" spans="1:38" ht="18.75" hidden="1" customHeight="1" outlineLevel="1">
      <c r="A42" s="1246"/>
      <c r="B42" s="307">
        <f>+Catálogo!B18</f>
        <v>0</v>
      </c>
      <c r="C42" s="404"/>
      <c r="D42" s="404"/>
      <c r="E42" s="404"/>
      <c r="F42" s="404"/>
      <c r="G42" s="404"/>
      <c r="H42" s="404"/>
      <c r="I42" s="404"/>
      <c r="J42" s="404"/>
      <c r="K42" s="404"/>
      <c r="L42" s="404"/>
      <c r="M42" s="404"/>
      <c r="N42" s="404"/>
      <c r="O42" s="404"/>
      <c r="P42" s="404"/>
      <c r="Q42" s="404"/>
      <c r="R42" s="404"/>
      <c r="S42" s="404"/>
      <c r="T42" s="404"/>
      <c r="U42" s="404"/>
      <c r="V42" s="404"/>
      <c r="W42" s="404"/>
      <c r="X42" s="404"/>
      <c r="Y42" s="404"/>
      <c r="Z42" s="404"/>
      <c r="AA42" s="404"/>
      <c r="AB42" s="404"/>
      <c r="AC42" s="404"/>
      <c r="AD42" s="404"/>
      <c r="AE42" s="404"/>
      <c r="AF42" s="404"/>
      <c r="AG42" s="404"/>
      <c r="AH42" s="404"/>
      <c r="AI42" s="404"/>
      <c r="AJ42" s="404"/>
      <c r="AK42" s="404"/>
      <c r="AL42" s="404"/>
    </row>
    <row r="43" spans="1:38" ht="18.75" hidden="1" customHeight="1" outlineLevel="1">
      <c r="A43" s="1246"/>
      <c r="B43" s="307">
        <f>+Catálogo!B19</f>
        <v>0</v>
      </c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  <c r="V43" s="404"/>
      <c r="W43" s="404"/>
      <c r="X43" s="404"/>
      <c r="Y43" s="404"/>
      <c r="Z43" s="404"/>
      <c r="AA43" s="404"/>
      <c r="AB43" s="404"/>
      <c r="AC43" s="404"/>
      <c r="AD43" s="404"/>
      <c r="AE43" s="404"/>
      <c r="AF43" s="404"/>
      <c r="AG43" s="404"/>
      <c r="AH43" s="404"/>
      <c r="AI43" s="404"/>
      <c r="AJ43" s="404"/>
      <c r="AK43" s="404"/>
      <c r="AL43" s="404"/>
    </row>
    <row r="44" spans="1:38" ht="18.75" hidden="1" customHeight="1" outlineLevel="1">
      <c r="A44" s="1246"/>
      <c r="B44" s="307">
        <f>+Catálogo!B20</f>
        <v>0</v>
      </c>
      <c r="C44" s="404"/>
      <c r="D44" s="404"/>
      <c r="E44" s="404"/>
      <c r="F44" s="404"/>
      <c r="G44" s="404"/>
      <c r="H44" s="404"/>
      <c r="I44" s="404"/>
      <c r="J44" s="404"/>
      <c r="K44" s="404"/>
      <c r="L44" s="404"/>
      <c r="M44" s="404"/>
      <c r="N44" s="404"/>
      <c r="O44" s="404"/>
      <c r="P44" s="404"/>
      <c r="Q44" s="404"/>
      <c r="R44" s="404"/>
      <c r="S44" s="404"/>
      <c r="T44" s="404"/>
      <c r="U44" s="404"/>
      <c r="V44" s="404"/>
      <c r="W44" s="404"/>
      <c r="X44" s="404"/>
      <c r="Y44" s="404"/>
      <c r="Z44" s="404"/>
      <c r="AA44" s="404"/>
      <c r="AB44" s="404"/>
      <c r="AC44" s="404"/>
      <c r="AD44" s="404"/>
      <c r="AE44" s="404"/>
      <c r="AF44" s="404"/>
      <c r="AG44" s="404"/>
      <c r="AH44" s="404"/>
      <c r="AI44" s="404"/>
      <c r="AJ44" s="404"/>
      <c r="AK44" s="404"/>
      <c r="AL44" s="404"/>
    </row>
    <row r="45" spans="1:38" ht="18.75" collapsed="1">
      <c r="A45" s="1246"/>
      <c r="B45" s="451" t="s">
        <v>455</v>
      </c>
      <c r="C45" s="454">
        <f>SUM(C30:C44)</f>
        <v>0</v>
      </c>
      <c r="D45" s="454">
        <f t="shared" ref="D45:AL45" si="2">SUM(D30:D44)</f>
        <v>0</v>
      </c>
      <c r="E45" s="454">
        <f t="shared" si="2"/>
        <v>0</v>
      </c>
      <c r="F45" s="454">
        <f t="shared" si="2"/>
        <v>0</v>
      </c>
      <c r="G45" s="454">
        <f t="shared" si="2"/>
        <v>0</v>
      </c>
      <c r="H45" s="454">
        <f t="shared" si="2"/>
        <v>0</v>
      </c>
      <c r="I45" s="454">
        <f t="shared" si="2"/>
        <v>0</v>
      </c>
      <c r="J45" s="454">
        <f t="shared" si="2"/>
        <v>0</v>
      </c>
      <c r="K45" s="454">
        <f t="shared" si="2"/>
        <v>0</v>
      </c>
      <c r="L45" s="454">
        <f t="shared" si="2"/>
        <v>0</v>
      </c>
      <c r="M45" s="454">
        <f t="shared" si="2"/>
        <v>0</v>
      </c>
      <c r="N45" s="454">
        <f t="shared" si="2"/>
        <v>0</v>
      </c>
      <c r="O45" s="454">
        <f t="shared" si="2"/>
        <v>0</v>
      </c>
      <c r="P45" s="454">
        <f t="shared" si="2"/>
        <v>0</v>
      </c>
      <c r="Q45" s="454">
        <f t="shared" si="2"/>
        <v>0</v>
      </c>
      <c r="R45" s="454">
        <f t="shared" si="2"/>
        <v>0</v>
      </c>
      <c r="S45" s="454">
        <f t="shared" si="2"/>
        <v>0</v>
      </c>
      <c r="T45" s="454">
        <f t="shared" si="2"/>
        <v>0</v>
      </c>
      <c r="U45" s="454">
        <f t="shared" si="2"/>
        <v>0</v>
      </c>
      <c r="V45" s="454">
        <f t="shared" si="2"/>
        <v>0</v>
      </c>
      <c r="W45" s="454">
        <f t="shared" si="2"/>
        <v>0</v>
      </c>
      <c r="X45" s="454">
        <f t="shared" si="2"/>
        <v>0</v>
      </c>
      <c r="Y45" s="454">
        <f t="shared" si="2"/>
        <v>0</v>
      </c>
      <c r="Z45" s="454">
        <f t="shared" si="2"/>
        <v>0</v>
      </c>
      <c r="AA45" s="454">
        <f t="shared" si="2"/>
        <v>0</v>
      </c>
      <c r="AB45" s="454">
        <f t="shared" si="2"/>
        <v>0</v>
      </c>
      <c r="AC45" s="454">
        <f t="shared" si="2"/>
        <v>0</v>
      </c>
      <c r="AD45" s="454">
        <f t="shared" si="2"/>
        <v>0</v>
      </c>
      <c r="AE45" s="454">
        <f t="shared" si="2"/>
        <v>0</v>
      </c>
      <c r="AF45" s="454">
        <f t="shared" si="2"/>
        <v>0</v>
      </c>
      <c r="AG45" s="454">
        <f t="shared" si="2"/>
        <v>0</v>
      </c>
      <c r="AH45" s="454">
        <f t="shared" si="2"/>
        <v>0</v>
      </c>
      <c r="AI45" s="454">
        <f t="shared" si="2"/>
        <v>0</v>
      </c>
      <c r="AJ45" s="454">
        <f t="shared" si="2"/>
        <v>0</v>
      </c>
      <c r="AK45" s="454">
        <f t="shared" si="2"/>
        <v>0</v>
      </c>
      <c r="AL45" s="454">
        <f t="shared" si="2"/>
        <v>0</v>
      </c>
    </row>
    <row r="46" spans="1:38" ht="18.75">
      <c r="A46" s="1246"/>
      <c r="B46" s="451"/>
      <c r="C46" s="454"/>
      <c r="D46" s="454"/>
      <c r="E46" s="454"/>
      <c r="F46" s="454"/>
      <c r="G46" s="454"/>
      <c r="H46" s="454"/>
      <c r="I46" s="454"/>
      <c r="J46" s="454"/>
      <c r="K46" s="454"/>
      <c r="L46" s="454"/>
      <c r="M46" s="454"/>
      <c r="N46" s="454"/>
      <c r="O46" s="454"/>
      <c r="P46" s="454"/>
      <c r="Q46" s="454"/>
      <c r="R46" s="454"/>
      <c r="S46" s="454"/>
      <c r="T46" s="454"/>
      <c r="U46" s="454"/>
      <c r="V46" s="454"/>
      <c r="W46" s="454"/>
      <c r="X46" s="454"/>
      <c r="Y46" s="454"/>
      <c r="Z46" s="454"/>
      <c r="AA46" s="454"/>
      <c r="AB46" s="454"/>
      <c r="AC46" s="454"/>
      <c r="AD46" s="454"/>
      <c r="AE46" s="454"/>
      <c r="AF46" s="454"/>
      <c r="AG46" s="454"/>
      <c r="AH46" s="454"/>
      <c r="AI46" s="454"/>
      <c r="AJ46" s="454"/>
      <c r="AK46" s="454"/>
      <c r="AL46" s="454"/>
    </row>
    <row r="47" spans="1:38" ht="18.75">
      <c r="A47" s="1246"/>
      <c r="B47" s="455" t="s">
        <v>451</v>
      </c>
      <c r="C47" s="454" t="s">
        <v>46</v>
      </c>
      <c r="D47" s="454"/>
      <c r="E47" s="454"/>
      <c r="F47" s="454"/>
      <c r="G47" s="454"/>
      <c r="H47" s="454"/>
      <c r="I47" s="454"/>
      <c r="J47" s="454"/>
      <c r="K47" s="454"/>
      <c r="L47" s="454"/>
      <c r="M47" s="454"/>
      <c r="N47" s="454"/>
      <c r="O47" s="454"/>
      <c r="P47" s="454"/>
      <c r="Q47" s="454"/>
      <c r="R47" s="454"/>
      <c r="S47" s="454"/>
      <c r="T47" s="454"/>
      <c r="U47" s="454"/>
      <c r="V47" s="454"/>
      <c r="W47" s="454"/>
      <c r="X47" s="454"/>
      <c r="Y47" s="454"/>
      <c r="Z47" s="454"/>
      <c r="AA47" s="454"/>
      <c r="AB47" s="454"/>
      <c r="AC47" s="454"/>
      <c r="AD47" s="454"/>
      <c r="AE47" s="454"/>
      <c r="AF47" s="454"/>
      <c r="AG47" s="454"/>
      <c r="AH47" s="454"/>
      <c r="AI47" s="454"/>
      <c r="AJ47" s="454"/>
      <c r="AK47" s="454"/>
      <c r="AL47" s="454"/>
    </row>
    <row r="48" spans="1:38" ht="18.75">
      <c r="A48" s="1246"/>
      <c r="B48" s="307">
        <f>+Catálogo!B6</f>
        <v>0</v>
      </c>
      <c r="C48" s="12">
        <f t="shared" ref="C48:C62" si="3">+C10-C30</f>
        <v>0</v>
      </c>
      <c r="D48" s="12">
        <f t="shared" ref="D48:AL48" si="4">C48+D10-D30</f>
        <v>0</v>
      </c>
      <c r="E48" s="12">
        <f t="shared" si="4"/>
        <v>0</v>
      </c>
      <c r="F48" s="12">
        <f t="shared" si="4"/>
        <v>0</v>
      </c>
      <c r="G48" s="12">
        <f t="shared" si="4"/>
        <v>0</v>
      </c>
      <c r="H48" s="12">
        <f t="shared" si="4"/>
        <v>0</v>
      </c>
      <c r="I48" s="12">
        <f t="shared" si="4"/>
        <v>0</v>
      </c>
      <c r="J48" s="12">
        <f t="shared" si="4"/>
        <v>0</v>
      </c>
      <c r="K48" s="12">
        <f t="shared" si="4"/>
        <v>0</v>
      </c>
      <c r="L48" s="12">
        <f t="shared" si="4"/>
        <v>0</v>
      </c>
      <c r="M48" s="12">
        <f t="shared" si="4"/>
        <v>0</v>
      </c>
      <c r="N48" s="12">
        <f t="shared" si="4"/>
        <v>0</v>
      </c>
      <c r="O48" s="12">
        <f t="shared" si="4"/>
        <v>0</v>
      </c>
      <c r="P48" s="12">
        <f t="shared" si="4"/>
        <v>0</v>
      </c>
      <c r="Q48" s="12">
        <f t="shared" si="4"/>
        <v>0</v>
      </c>
      <c r="R48" s="12">
        <f t="shared" si="4"/>
        <v>0</v>
      </c>
      <c r="S48" s="12">
        <f t="shared" si="4"/>
        <v>0</v>
      </c>
      <c r="T48" s="12">
        <f t="shared" si="4"/>
        <v>0</v>
      </c>
      <c r="U48" s="12">
        <f t="shared" si="4"/>
        <v>0</v>
      </c>
      <c r="V48" s="12">
        <f t="shared" si="4"/>
        <v>0</v>
      </c>
      <c r="W48" s="12">
        <f t="shared" si="4"/>
        <v>0</v>
      </c>
      <c r="X48" s="12">
        <f t="shared" si="4"/>
        <v>0</v>
      </c>
      <c r="Y48" s="12">
        <f t="shared" si="4"/>
        <v>0</v>
      </c>
      <c r="Z48" s="12">
        <f t="shared" si="4"/>
        <v>0</v>
      </c>
      <c r="AA48" s="12">
        <f t="shared" si="4"/>
        <v>0</v>
      </c>
      <c r="AB48" s="12">
        <f t="shared" si="4"/>
        <v>0</v>
      </c>
      <c r="AC48" s="12">
        <f t="shared" si="4"/>
        <v>0</v>
      </c>
      <c r="AD48" s="12">
        <f t="shared" si="4"/>
        <v>0</v>
      </c>
      <c r="AE48" s="12">
        <f t="shared" si="4"/>
        <v>0</v>
      </c>
      <c r="AF48" s="12">
        <f t="shared" si="4"/>
        <v>0</v>
      </c>
      <c r="AG48" s="12">
        <f t="shared" si="4"/>
        <v>0</v>
      </c>
      <c r="AH48" s="12">
        <f t="shared" si="4"/>
        <v>0</v>
      </c>
      <c r="AI48" s="12">
        <f t="shared" si="4"/>
        <v>0</v>
      </c>
      <c r="AJ48" s="12">
        <f t="shared" si="4"/>
        <v>0</v>
      </c>
      <c r="AK48" s="12">
        <f t="shared" si="4"/>
        <v>0</v>
      </c>
      <c r="AL48" s="12">
        <f t="shared" si="4"/>
        <v>0</v>
      </c>
    </row>
    <row r="49" spans="1:38" ht="18.75">
      <c r="A49" s="1246"/>
      <c r="B49" s="307">
        <f>+Catálogo!B7</f>
        <v>0</v>
      </c>
      <c r="C49" s="12">
        <f t="shared" si="3"/>
        <v>0</v>
      </c>
      <c r="D49" s="12">
        <f t="shared" ref="D49:AL49" si="5">C49+D11-D31</f>
        <v>0</v>
      </c>
      <c r="E49" s="12">
        <f t="shared" si="5"/>
        <v>0</v>
      </c>
      <c r="F49" s="12">
        <f t="shared" si="5"/>
        <v>0</v>
      </c>
      <c r="G49" s="12">
        <f t="shared" si="5"/>
        <v>0</v>
      </c>
      <c r="H49" s="12">
        <f t="shared" si="5"/>
        <v>0</v>
      </c>
      <c r="I49" s="12">
        <f t="shared" si="5"/>
        <v>0</v>
      </c>
      <c r="J49" s="12">
        <f t="shared" si="5"/>
        <v>0</v>
      </c>
      <c r="K49" s="12">
        <f t="shared" si="5"/>
        <v>0</v>
      </c>
      <c r="L49" s="12">
        <f t="shared" si="5"/>
        <v>0</v>
      </c>
      <c r="M49" s="12">
        <f t="shared" si="5"/>
        <v>0</v>
      </c>
      <c r="N49" s="12">
        <f t="shared" si="5"/>
        <v>0</v>
      </c>
      <c r="O49" s="12">
        <f t="shared" si="5"/>
        <v>0</v>
      </c>
      <c r="P49" s="12">
        <f t="shared" si="5"/>
        <v>0</v>
      </c>
      <c r="Q49" s="12">
        <f t="shared" si="5"/>
        <v>0</v>
      </c>
      <c r="R49" s="12">
        <f t="shared" si="5"/>
        <v>0</v>
      </c>
      <c r="S49" s="12">
        <f t="shared" si="5"/>
        <v>0</v>
      </c>
      <c r="T49" s="12">
        <f t="shared" si="5"/>
        <v>0</v>
      </c>
      <c r="U49" s="12">
        <f t="shared" si="5"/>
        <v>0</v>
      </c>
      <c r="V49" s="12">
        <f t="shared" si="5"/>
        <v>0</v>
      </c>
      <c r="W49" s="12">
        <f t="shared" si="5"/>
        <v>0</v>
      </c>
      <c r="X49" s="12">
        <f t="shared" si="5"/>
        <v>0</v>
      </c>
      <c r="Y49" s="12">
        <f t="shared" si="5"/>
        <v>0</v>
      </c>
      <c r="Z49" s="12">
        <f t="shared" si="5"/>
        <v>0</v>
      </c>
      <c r="AA49" s="12">
        <f t="shared" si="5"/>
        <v>0</v>
      </c>
      <c r="AB49" s="12">
        <f t="shared" si="5"/>
        <v>0</v>
      </c>
      <c r="AC49" s="12">
        <f t="shared" si="5"/>
        <v>0</v>
      </c>
      <c r="AD49" s="12">
        <f t="shared" si="5"/>
        <v>0</v>
      </c>
      <c r="AE49" s="12">
        <f t="shared" si="5"/>
        <v>0</v>
      </c>
      <c r="AF49" s="12">
        <f t="shared" si="5"/>
        <v>0</v>
      </c>
      <c r="AG49" s="12">
        <f t="shared" si="5"/>
        <v>0</v>
      </c>
      <c r="AH49" s="12">
        <f t="shared" si="5"/>
        <v>0</v>
      </c>
      <c r="AI49" s="12">
        <f t="shared" si="5"/>
        <v>0</v>
      </c>
      <c r="AJ49" s="12">
        <f t="shared" si="5"/>
        <v>0</v>
      </c>
      <c r="AK49" s="12">
        <f t="shared" si="5"/>
        <v>0</v>
      </c>
      <c r="AL49" s="12">
        <f t="shared" si="5"/>
        <v>0</v>
      </c>
    </row>
    <row r="50" spans="1:38" ht="18.75">
      <c r="A50" s="1246"/>
      <c r="B50" s="307">
        <f>+Catálogo!B8</f>
        <v>0</v>
      </c>
      <c r="C50" s="12">
        <f t="shared" si="3"/>
        <v>0</v>
      </c>
      <c r="D50" s="12">
        <f t="shared" ref="D50:AL50" si="6">C50+D12-D32</f>
        <v>0</v>
      </c>
      <c r="E50" s="12">
        <f t="shared" si="6"/>
        <v>0</v>
      </c>
      <c r="F50" s="12">
        <f t="shared" si="6"/>
        <v>0</v>
      </c>
      <c r="G50" s="12">
        <f t="shared" si="6"/>
        <v>0</v>
      </c>
      <c r="H50" s="12">
        <f t="shared" si="6"/>
        <v>0</v>
      </c>
      <c r="I50" s="12">
        <f t="shared" si="6"/>
        <v>0</v>
      </c>
      <c r="J50" s="12">
        <f t="shared" si="6"/>
        <v>0</v>
      </c>
      <c r="K50" s="12">
        <f t="shared" si="6"/>
        <v>0</v>
      </c>
      <c r="L50" s="12">
        <f t="shared" si="6"/>
        <v>0</v>
      </c>
      <c r="M50" s="12">
        <f t="shared" si="6"/>
        <v>0</v>
      </c>
      <c r="N50" s="12">
        <f t="shared" si="6"/>
        <v>0</v>
      </c>
      <c r="O50" s="12">
        <f t="shared" si="6"/>
        <v>0</v>
      </c>
      <c r="P50" s="12">
        <f t="shared" si="6"/>
        <v>0</v>
      </c>
      <c r="Q50" s="12">
        <f t="shared" si="6"/>
        <v>0</v>
      </c>
      <c r="R50" s="12">
        <f t="shared" si="6"/>
        <v>0</v>
      </c>
      <c r="S50" s="12">
        <f t="shared" si="6"/>
        <v>0</v>
      </c>
      <c r="T50" s="12">
        <f t="shared" si="6"/>
        <v>0</v>
      </c>
      <c r="U50" s="12">
        <f t="shared" si="6"/>
        <v>0</v>
      </c>
      <c r="V50" s="12">
        <f t="shared" si="6"/>
        <v>0</v>
      </c>
      <c r="W50" s="12">
        <f t="shared" si="6"/>
        <v>0</v>
      </c>
      <c r="X50" s="12">
        <f t="shared" si="6"/>
        <v>0</v>
      </c>
      <c r="Y50" s="12">
        <f t="shared" si="6"/>
        <v>0</v>
      </c>
      <c r="Z50" s="12">
        <f t="shared" si="6"/>
        <v>0</v>
      </c>
      <c r="AA50" s="12">
        <f t="shared" si="6"/>
        <v>0</v>
      </c>
      <c r="AB50" s="12">
        <f t="shared" si="6"/>
        <v>0</v>
      </c>
      <c r="AC50" s="12">
        <f t="shared" si="6"/>
        <v>0</v>
      </c>
      <c r="AD50" s="12">
        <f t="shared" si="6"/>
        <v>0</v>
      </c>
      <c r="AE50" s="12">
        <f t="shared" si="6"/>
        <v>0</v>
      </c>
      <c r="AF50" s="12">
        <f t="shared" si="6"/>
        <v>0</v>
      </c>
      <c r="AG50" s="12">
        <f t="shared" si="6"/>
        <v>0</v>
      </c>
      <c r="AH50" s="12">
        <f t="shared" si="6"/>
        <v>0</v>
      </c>
      <c r="AI50" s="12">
        <f t="shared" si="6"/>
        <v>0</v>
      </c>
      <c r="AJ50" s="12">
        <f t="shared" si="6"/>
        <v>0</v>
      </c>
      <c r="AK50" s="12">
        <f t="shared" si="6"/>
        <v>0</v>
      </c>
      <c r="AL50" s="12">
        <f t="shared" si="6"/>
        <v>0</v>
      </c>
    </row>
    <row r="51" spans="1:38" ht="18.75">
      <c r="A51" s="1246"/>
      <c r="B51" s="307">
        <f>+Catálogo!B9</f>
        <v>0</v>
      </c>
      <c r="C51" s="12">
        <f t="shared" si="3"/>
        <v>0</v>
      </c>
      <c r="D51" s="12">
        <f t="shared" ref="D51:AL51" si="7">C51+D13-D33</f>
        <v>0</v>
      </c>
      <c r="E51" s="12">
        <f t="shared" si="7"/>
        <v>0</v>
      </c>
      <c r="F51" s="12">
        <f t="shared" si="7"/>
        <v>0</v>
      </c>
      <c r="G51" s="12">
        <f t="shared" si="7"/>
        <v>0</v>
      </c>
      <c r="H51" s="12">
        <f t="shared" si="7"/>
        <v>0</v>
      </c>
      <c r="I51" s="12">
        <f t="shared" si="7"/>
        <v>0</v>
      </c>
      <c r="J51" s="12">
        <f t="shared" si="7"/>
        <v>0</v>
      </c>
      <c r="K51" s="12">
        <f t="shared" si="7"/>
        <v>0</v>
      </c>
      <c r="L51" s="12">
        <f t="shared" si="7"/>
        <v>0</v>
      </c>
      <c r="M51" s="12">
        <f t="shared" si="7"/>
        <v>0</v>
      </c>
      <c r="N51" s="12">
        <f t="shared" si="7"/>
        <v>0</v>
      </c>
      <c r="O51" s="12">
        <f t="shared" si="7"/>
        <v>0</v>
      </c>
      <c r="P51" s="12">
        <f t="shared" si="7"/>
        <v>0</v>
      </c>
      <c r="Q51" s="12">
        <f t="shared" si="7"/>
        <v>0</v>
      </c>
      <c r="R51" s="12">
        <f t="shared" si="7"/>
        <v>0</v>
      </c>
      <c r="S51" s="12">
        <f t="shared" si="7"/>
        <v>0</v>
      </c>
      <c r="T51" s="12">
        <f t="shared" si="7"/>
        <v>0</v>
      </c>
      <c r="U51" s="12">
        <f t="shared" si="7"/>
        <v>0</v>
      </c>
      <c r="V51" s="12">
        <f t="shared" si="7"/>
        <v>0</v>
      </c>
      <c r="W51" s="12">
        <f t="shared" si="7"/>
        <v>0</v>
      </c>
      <c r="X51" s="12">
        <f t="shared" si="7"/>
        <v>0</v>
      </c>
      <c r="Y51" s="12">
        <f t="shared" si="7"/>
        <v>0</v>
      </c>
      <c r="Z51" s="12">
        <f t="shared" si="7"/>
        <v>0</v>
      </c>
      <c r="AA51" s="12">
        <f t="shared" si="7"/>
        <v>0</v>
      </c>
      <c r="AB51" s="12">
        <f t="shared" si="7"/>
        <v>0</v>
      </c>
      <c r="AC51" s="12">
        <f t="shared" si="7"/>
        <v>0</v>
      </c>
      <c r="AD51" s="12">
        <f t="shared" si="7"/>
        <v>0</v>
      </c>
      <c r="AE51" s="12">
        <f t="shared" si="7"/>
        <v>0</v>
      </c>
      <c r="AF51" s="12">
        <f t="shared" si="7"/>
        <v>0</v>
      </c>
      <c r="AG51" s="12">
        <f t="shared" si="7"/>
        <v>0</v>
      </c>
      <c r="AH51" s="12">
        <f t="shared" si="7"/>
        <v>0</v>
      </c>
      <c r="AI51" s="12">
        <f t="shared" si="7"/>
        <v>0</v>
      </c>
      <c r="AJ51" s="12">
        <f t="shared" si="7"/>
        <v>0</v>
      </c>
      <c r="AK51" s="12">
        <f t="shared" si="7"/>
        <v>0</v>
      </c>
      <c r="AL51" s="12">
        <f t="shared" si="7"/>
        <v>0</v>
      </c>
    </row>
    <row r="52" spans="1:38" ht="18.75">
      <c r="A52" s="1246"/>
      <c r="B52" s="307">
        <f>+Catálogo!B10</f>
        <v>0</v>
      </c>
      <c r="C52" s="12">
        <f t="shared" si="3"/>
        <v>0</v>
      </c>
      <c r="D52" s="12">
        <f t="shared" ref="D52:AL52" si="8">C52+D14-D34</f>
        <v>0</v>
      </c>
      <c r="E52" s="12">
        <f t="shared" si="8"/>
        <v>0</v>
      </c>
      <c r="F52" s="12">
        <f t="shared" si="8"/>
        <v>0</v>
      </c>
      <c r="G52" s="12">
        <f t="shared" si="8"/>
        <v>0</v>
      </c>
      <c r="H52" s="12">
        <f t="shared" si="8"/>
        <v>0</v>
      </c>
      <c r="I52" s="12">
        <f t="shared" si="8"/>
        <v>0</v>
      </c>
      <c r="J52" s="12">
        <f t="shared" si="8"/>
        <v>0</v>
      </c>
      <c r="K52" s="12">
        <f t="shared" si="8"/>
        <v>0</v>
      </c>
      <c r="L52" s="12">
        <f t="shared" si="8"/>
        <v>0</v>
      </c>
      <c r="M52" s="12">
        <f t="shared" si="8"/>
        <v>0</v>
      </c>
      <c r="N52" s="12">
        <f t="shared" si="8"/>
        <v>0</v>
      </c>
      <c r="O52" s="12">
        <f t="shared" si="8"/>
        <v>0</v>
      </c>
      <c r="P52" s="12">
        <f t="shared" si="8"/>
        <v>0</v>
      </c>
      <c r="Q52" s="12">
        <f t="shared" si="8"/>
        <v>0</v>
      </c>
      <c r="R52" s="12">
        <f t="shared" si="8"/>
        <v>0</v>
      </c>
      <c r="S52" s="12">
        <f t="shared" si="8"/>
        <v>0</v>
      </c>
      <c r="T52" s="12">
        <f t="shared" si="8"/>
        <v>0</v>
      </c>
      <c r="U52" s="12">
        <f t="shared" si="8"/>
        <v>0</v>
      </c>
      <c r="V52" s="12">
        <f t="shared" si="8"/>
        <v>0</v>
      </c>
      <c r="W52" s="12">
        <f t="shared" si="8"/>
        <v>0</v>
      </c>
      <c r="X52" s="12">
        <f t="shared" si="8"/>
        <v>0</v>
      </c>
      <c r="Y52" s="12">
        <f t="shared" si="8"/>
        <v>0</v>
      </c>
      <c r="Z52" s="12">
        <f t="shared" si="8"/>
        <v>0</v>
      </c>
      <c r="AA52" s="12">
        <f t="shared" si="8"/>
        <v>0</v>
      </c>
      <c r="AB52" s="12">
        <f t="shared" si="8"/>
        <v>0</v>
      </c>
      <c r="AC52" s="12">
        <f t="shared" si="8"/>
        <v>0</v>
      </c>
      <c r="AD52" s="12">
        <f t="shared" si="8"/>
        <v>0</v>
      </c>
      <c r="AE52" s="12">
        <f t="shared" si="8"/>
        <v>0</v>
      </c>
      <c r="AF52" s="12">
        <f t="shared" si="8"/>
        <v>0</v>
      </c>
      <c r="AG52" s="12">
        <f t="shared" si="8"/>
        <v>0</v>
      </c>
      <c r="AH52" s="12">
        <f t="shared" si="8"/>
        <v>0</v>
      </c>
      <c r="AI52" s="12">
        <f t="shared" si="8"/>
        <v>0</v>
      </c>
      <c r="AJ52" s="12">
        <f t="shared" si="8"/>
        <v>0</v>
      </c>
      <c r="AK52" s="12">
        <f t="shared" si="8"/>
        <v>0</v>
      </c>
      <c r="AL52" s="12">
        <f t="shared" si="8"/>
        <v>0</v>
      </c>
    </row>
    <row r="53" spans="1:38" ht="18.75" hidden="1" customHeight="1" outlineLevel="1">
      <c r="A53" s="1246"/>
      <c r="B53" s="307">
        <f>+Catálogo!B11</f>
        <v>0</v>
      </c>
      <c r="C53" s="12">
        <f t="shared" si="3"/>
        <v>0</v>
      </c>
      <c r="D53" s="12">
        <f t="shared" ref="D53:AL53" si="9">C53+D15-D35</f>
        <v>0</v>
      </c>
      <c r="E53" s="12">
        <f t="shared" si="9"/>
        <v>0</v>
      </c>
      <c r="F53" s="12">
        <f t="shared" si="9"/>
        <v>0</v>
      </c>
      <c r="G53" s="12">
        <f t="shared" si="9"/>
        <v>0</v>
      </c>
      <c r="H53" s="12">
        <f t="shared" si="9"/>
        <v>0</v>
      </c>
      <c r="I53" s="12">
        <f t="shared" si="9"/>
        <v>0</v>
      </c>
      <c r="J53" s="12">
        <f t="shared" si="9"/>
        <v>0</v>
      </c>
      <c r="K53" s="12">
        <f t="shared" si="9"/>
        <v>0</v>
      </c>
      <c r="L53" s="12">
        <f t="shared" si="9"/>
        <v>0</v>
      </c>
      <c r="M53" s="12">
        <f t="shared" si="9"/>
        <v>0</v>
      </c>
      <c r="N53" s="12">
        <f t="shared" si="9"/>
        <v>0</v>
      </c>
      <c r="O53" s="12">
        <f t="shared" si="9"/>
        <v>0</v>
      </c>
      <c r="P53" s="12">
        <f t="shared" si="9"/>
        <v>0</v>
      </c>
      <c r="Q53" s="12">
        <f t="shared" si="9"/>
        <v>0</v>
      </c>
      <c r="R53" s="12">
        <f t="shared" si="9"/>
        <v>0</v>
      </c>
      <c r="S53" s="12">
        <f t="shared" si="9"/>
        <v>0</v>
      </c>
      <c r="T53" s="12">
        <f t="shared" si="9"/>
        <v>0</v>
      </c>
      <c r="U53" s="12">
        <f t="shared" si="9"/>
        <v>0</v>
      </c>
      <c r="V53" s="12">
        <f t="shared" si="9"/>
        <v>0</v>
      </c>
      <c r="W53" s="12">
        <f t="shared" si="9"/>
        <v>0</v>
      </c>
      <c r="X53" s="12">
        <f t="shared" si="9"/>
        <v>0</v>
      </c>
      <c r="Y53" s="12">
        <f t="shared" si="9"/>
        <v>0</v>
      </c>
      <c r="Z53" s="12">
        <f t="shared" si="9"/>
        <v>0</v>
      </c>
      <c r="AA53" s="12">
        <f t="shared" si="9"/>
        <v>0</v>
      </c>
      <c r="AB53" s="12">
        <f t="shared" si="9"/>
        <v>0</v>
      </c>
      <c r="AC53" s="12">
        <f t="shared" si="9"/>
        <v>0</v>
      </c>
      <c r="AD53" s="12">
        <f t="shared" si="9"/>
        <v>0</v>
      </c>
      <c r="AE53" s="12">
        <f t="shared" si="9"/>
        <v>0</v>
      </c>
      <c r="AF53" s="12">
        <f t="shared" si="9"/>
        <v>0</v>
      </c>
      <c r="AG53" s="12">
        <f t="shared" si="9"/>
        <v>0</v>
      </c>
      <c r="AH53" s="12">
        <f t="shared" si="9"/>
        <v>0</v>
      </c>
      <c r="AI53" s="12">
        <f t="shared" si="9"/>
        <v>0</v>
      </c>
      <c r="AJ53" s="12">
        <f t="shared" si="9"/>
        <v>0</v>
      </c>
      <c r="AK53" s="12">
        <f t="shared" si="9"/>
        <v>0</v>
      </c>
      <c r="AL53" s="12">
        <f t="shared" si="9"/>
        <v>0</v>
      </c>
    </row>
    <row r="54" spans="1:38" ht="18.75" hidden="1" customHeight="1" outlineLevel="1">
      <c r="A54" s="1246"/>
      <c r="B54" s="307">
        <f>+Catálogo!B12</f>
        <v>0</v>
      </c>
      <c r="C54" s="12">
        <f t="shared" si="3"/>
        <v>0</v>
      </c>
      <c r="D54" s="12">
        <f t="shared" ref="D54:AL54" si="10">C54+D16-D36</f>
        <v>0</v>
      </c>
      <c r="E54" s="12">
        <f t="shared" si="10"/>
        <v>0</v>
      </c>
      <c r="F54" s="12">
        <f t="shared" si="10"/>
        <v>0</v>
      </c>
      <c r="G54" s="12">
        <f t="shared" si="10"/>
        <v>0</v>
      </c>
      <c r="H54" s="12">
        <f t="shared" si="10"/>
        <v>0</v>
      </c>
      <c r="I54" s="12">
        <f t="shared" si="10"/>
        <v>0</v>
      </c>
      <c r="J54" s="12">
        <f t="shared" si="10"/>
        <v>0</v>
      </c>
      <c r="K54" s="12">
        <f t="shared" si="10"/>
        <v>0</v>
      </c>
      <c r="L54" s="12">
        <f t="shared" si="10"/>
        <v>0</v>
      </c>
      <c r="M54" s="12">
        <f t="shared" si="10"/>
        <v>0</v>
      </c>
      <c r="N54" s="12">
        <f t="shared" si="10"/>
        <v>0</v>
      </c>
      <c r="O54" s="12">
        <f t="shared" si="10"/>
        <v>0</v>
      </c>
      <c r="P54" s="12">
        <f t="shared" si="10"/>
        <v>0</v>
      </c>
      <c r="Q54" s="12">
        <f t="shared" si="10"/>
        <v>0</v>
      </c>
      <c r="R54" s="12">
        <f t="shared" si="10"/>
        <v>0</v>
      </c>
      <c r="S54" s="12">
        <f t="shared" si="10"/>
        <v>0</v>
      </c>
      <c r="T54" s="12">
        <f t="shared" si="10"/>
        <v>0</v>
      </c>
      <c r="U54" s="12">
        <f t="shared" si="10"/>
        <v>0</v>
      </c>
      <c r="V54" s="12">
        <f t="shared" si="10"/>
        <v>0</v>
      </c>
      <c r="W54" s="12">
        <f t="shared" si="10"/>
        <v>0</v>
      </c>
      <c r="X54" s="12">
        <f t="shared" si="10"/>
        <v>0</v>
      </c>
      <c r="Y54" s="12">
        <f t="shared" si="10"/>
        <v>0</v>
      </c>
      <c r="Z54" s="12">
        <f t="shared" si="10"/>
        <v>0</v>
      </c>
      <c r="AA54" s="12">
        <f t="shared" si="10"/>
        <v>0</v>
      </c>
      <c r="AB54" s="12">
        <f t="shared" si="10"/>
        <v>0</v>
      </c>
      <c r="AC54" s="12">
        <f t="shared" si="10"/>
        <v>0</v>
      </c>
      <c r="AD54" s="12">
        <f t="shared" si="10"/>
        <v>0</v>
      </c>
      <c r="AE54" s="12">
        <f t="shared" si="10"/>
        <v>0</v>
      </c>
      <c r="AF54" s="12">
        <f t="shared" si="10"/>
        <v>0</v>
      </c>
      <c r="AG54" s="12">
        <f t="shared" si="10"/>
        <v>0</v>
      </c>
      <c r="AH54" s="12">
        <f t="shared" si="10"/>
        <v>0</v>
      </c>
      <c r="AI54" s="12">
        <f t="shared" si="10"/>
        <v>0</v>
      </c>
      <c r="AJ54" s="12">
        <f t="shared" si="10"/>
        <v>0</v>
      </c>
      <c r="AK54" s="12">
        <f t="shared" si="10"/>
        <v>0</v>
      </c>
      <c r="AL54" s="12">
        <f t="shared" si="10"/>
        <v>0</v>
      </c>
    </row>
    <row r="55" spans="1:38" ht="18.75" hidden="1" customHeight="1" outlineLevel="1">
      <c r="A55" s="1246"/>
      <c r="B55" s="307">
        <f>+Catálogo!B13</f>
        <v>0</v>
      </c>
      <c r="C55" s="12">
        <f t="shared" si="3"/>
        <v>0</v>
      </c>
      <c r="D55" s="12">
        <f t="shared" ref="D55:AL55" si="11">C55+D17-D37</f>
        <v>0</v>
      </c>
      <c r="E55" s="12">
        <f t="shared" si="11"/>
        <v>0</v>
      </c>
      <c r="F55" s="12">
        <f t="shared" si="11"/>
        <v>0</v>
      </c>
      <c r="G55" s="12">
        <f t="shared" si="11"/>
        <v>0</v>
      </c>
      <c r="H55" s="12">
        <f t="shared" si="11"/>
        <v>0</v>
      </c>
      <c r="I55" s="12">
        <f t="shared" si="11"/>
        <v>0</v>
      </c>
      <c r="J55" s="12">
        <f t="shared" si="11"/>
        <v>0</v>
      </c>
      <c r="K55" s="12">
        <f t="shared" si="11"/>
        <v>0</v>
      </c>
      <c r="L55" s="12">
        <f t="shared" si="11"/>
        <v>0</v>
      </c>
      <c r="M55" s="12">
        <f t="shared" si="11"/>
        <v>0</v>
      </c>
      <c r="N55" s="12">
        <f t="shared" si="11"/>
        <v>0</v>
      </c>
      <c r="O55" s="12">
        <f t="shared" si="11"/>
        <v>0</v>
      </c>
      <c r="P55" s="12">
        <f t="shared" si="11"/>
        <v>0</v>
      </c>
      <c r="Q55" s="12">
        <f t="shared" si="11"/>
        <v>0</v>
      </c>
      <c r="R55" s="12">
        <f t="shared" si="11"/>
        <v>0</v>
      </c>
      <c r="S55" s="12">
        <f t="shared" si="11"/>
        <v>0</v>
      </c>
      <c r="T55" s="12">
        <f t="shared" si="11"/>
        <v>0</v>
      </c>
      <c r="U55" s="12">
        <f t="shared" si="11"/>
        <v>0</v>
      </c>
      <c r="V55" s="12">
        <f t="shared" si="11"/>
        <v>0</v>
      </c>
      <c r="W55" s="12">
        <f t="shared" si="11"/>
        <v>0</v>
      </c>
      <c r="X55" s="12">
        <f t="shared" si="11"/>
        <v>0</v>
      </c>
      <c r="Y55" s="12">
        <f t="shared" si="11"/>
        <v>0</v>
      </c>
      <c r="Z55" s="12">
        <f t="shared" si="11"/>
        <v>0</v>
      </c>
      <c r="AA55" s="12">
        <f t="shared" si="11"/>
        <v>0</v>
      </c>
      <c r="AB55" s="12">
        <f t="shared" si="11"/>
        <v>0</v>
      </c>
      <c r="AC55" s="12">
        <f t="shared" si="11"/>
        <v>0</v>
      </c>
      <c r="AD55" s="12">
        <f t="shared" si="11"/>
        <v>0</v>
      </c>
      <c r="AE55" s="12">
        <f t="shared" si="11"/>
        <v>0</v>
      </c>
      <c r="AF55" s="12">
        <f t="shared" si="11"/>
        <v>0</v>
      </c>
      <c r="AG55" s="12">
        <f t="shared" si="11"/>
        <v>0</v>
      </c>
      <c r="AH55" s="12">
        <f t="shared" si="11"/>
        <v>0</v>
      </c>
      <c r="AI55" s="12">
        <f t="shared" si="11"/>
        <v>0</v>
      </c>
      <c r="AJ55" s="12">
        <f t="shared" si="11"/>
        <v>0</v>
      </c>
      <c r="AK55" s="12">
        <f t="shared" si="11"/>
        <v>0</v>
      </c>
      <c r="AL55" s="12">
        <f t="shared" si="11"/>
        <v>0</v>
      </c>
    </row>
    <row r="56" spans="1:38" ht="18.75" hidden="1" customHeight="1" outlineLevel="1">
      <c r="A56" s="1246"/>
      <c r="B56" s="307">
        <f>+Catálogo!B14</f>
        <v>0</v>
      </c>
      <c r="C56" s="12">
        <f t="shared" si="3"/>
        <v>0</v>
      </c>
      <c r="D56" s="12">
        <f t="shared" ref="D56:AL56" si="12">C56+D18-D38</f>
        <v>0</v>
      </c>
      <c r="E56" s="12">
        <f t="shared" si="12"/>
        <v>0</v>
      </c>
      <c r="F56" s="12">
        <f t="shared" si="12"/>
        <v>0</v>
      </c>
      <c r="G56" s="12">
        <f t="shared" si="12"/>
        <v>0</v>
      </c>
      <c r="H56" s="12">
        <f t="shared" si="12"/>
        <v>0</v>
      </c>
      <c r="I56" s="12">
        <f t="shared" si="12"/>
        <v>0</v>
      </c>
      <c r="J56" s="12">
        <f t="shared" si="12"/>
        <v>0</v>
      </c>
      <c r="K56" s="12">
        <f t="shared" si="12"/>
        <v>0</v>
      </c>
      <c r="L56" s="12">
        <f t="shared" si="12"/>
        <v>0</v>
      </c>
      <c r="M56" s="12">
        <f t="shared" si="12"/>
        <v>0</v>
      </c>
      <c r="N56" s="12">
        <f t="shared" si="12"/>
        <v>0</v>
      </c>
      <c r="O56" s="12">
        <f t="shared" si="12"/>
        <v>0</v>
      </c>
      <c r="P56" s="12">
        <f t="shared" si="12"/>
        <v>0</v>
      </c>
      <c r="Q56" s="12">
        <f t="shared" si="12"/>
        <v>0</v>
      </c>
      <c r="R56" s="12">
        <f t="shared" si="12"/>
        <v>0</v>
      </c>
      <c r="S56" s="12">
        <f t="shared" si="12"/>
        <v>0</v>
      </c>
      <c r="T56" s="12">
        <f t="shared" si="12"/>
        <v>0</v>
      </c>
      <c r="U56" s="12">
        <f t="shared" si="12"/>
        <v>0</v>
      </c>
      <c r="V56" s="12">
        <f t="shared" si="12"/>
        <v>0</v>
      </c>
      <c r="W56" s="12">
        <f t="shared" si="12"/>
        <v>0</v>
      </c>
      <c r="X56" s="12">
        <f t="shared" si="12"/>
        <v>0</v>
      </c>
      <c r="Y56" s="12">
        <f t="shared" si="12"/>
        <v>0</v>
      </c>
      <c r="Z56" s="12">
        <f t="shared" si="12"/>
        <v>0</v>
      </c>
      <c r="AA56" s="12">
        <f t="shared" si="12"/>
        <v>0</v>
      </c>
      <c r="AB56" s="12">
        <f t="shared" si="12"/>
        <v>0</v>
      </c>
      <c r="AC56" s="12">
        <f t="shared" si="12"/>
        <v>0</v>
      </c>
      <c r="AD56" s="12">
        <f t="shared" si="12"/>
        <v>0</v>
      </c>
      <c r="AE56" s="12">
        <f t="shared" si="12"/>
        <v>0</v>
      </c>
      <c r="AF56" s="12">
        <f t="shared" si="12"/>
        <v>0</v>
      </c>
      <c r="AG56" s="12">
        <f t="shared" si="12"/>
        <v>0</v>
      </c>
      <c r="AH56" s="12">
        <f t="shared" si="12"/>
        <v>0</v>
      </c>
      <c r="AI56" s="12">
        <f t="shared" si="12"/>
        <v>0</v>
      </c>
      <c r="AJ56" s="12">
        <f t="shared" si="12"/>
        <v>0</v>
      </c>
      <c r="AK56" s="12">
        <f t="shared" si="12"/>
        <v>0</v>
      </c>
      <c r="AL56" s="12">
        <f t="shared" si="12"/>
        <v>0</v>
      </c>
    </row>
    <row r="57" spans="1:38" ht="18.75" hidden="1" customHeight="1" outlineLevel="1">
      <c r="A57" s="1246"/>
      <c r="B57" s="307">
        <f>+Catálogo!B15</f>
        <v>0</v>
      </c>
      <c r="C57" s="12">
        <f t="shared" si="3"/>
        <v>0</v>
      </c>
      <c r="D57" s="12">
        <f t="shared" ref="D57:AL57" si="13">C57+D19-D39</f>
        <v>0</v>
      </c>
      <c r="E57" s="12">
        <f t="shared" si="13"/>
        <v>0</v>
      </c>
      <c r="F57" s="12">
        <f t="shared" si="13"/>
        <v>0</v>
      </c>
      <c r="G57" s="12">
        <f t="shared" si="13"/>
        <v>0</v>
      </c>
      <c r="H57" s="12">
        <f t="shared" si="13"/>
        <v>0</v>
      </c>
      <c r="I57" s="12">
        <f t="shared" si="13"/>
        <v>0</v>
      </c>
      <c r="J57" s="12">
        <f t="shared" si="13"/>
        <v>0</v>
      </c>
      <c r="K57" s="12">
        <f t="shared" si="13"/>
        <v>0</v>
      </c>
      <c r="L57" s="12">
        <f t="shared" si="13"/>
        <v>0</v>
      </c>
      <c r="M57" s="12">
        <f t="shared" si="13"/>
        <v>0</v>
      </c>
      <c r="N57" s="12">
        <f t="shared" si="13"/>
        <v>0</v>
      </c>
      <c r="O57" s="12">
        <f t="shared" si="13"/>
        <v>0</v>
      </c>
      <c r="P57" s="12">
        <f t="shared" si="13"/>
        <v>0</v>
      </c>
      <c r="Q57" s="12">
        <f t="shared" si="13"/>
        <v>0</v>
      </c>
      <c r="R57" s="12">
        <f t="shared" si="13"/>
        <v>0</v>
      </c>
      <c r="S57" s="12">
        <f t="shared" si="13"/>
        <v>0</v>
      </c>
      <c r="T57" s="12">
        <f t="shared" si="13"/>
        <v>0</v>
      </c>
      <c r="U57" s="12">
        <f t="shared" si="13"/>
        <v>0</v>
      </c>
      <c r="V57" s="12">
        <f t="shared" si="13"/>
        <v>0</v>
      </c>
      <c r="W57" s="12">
        <f t="shared" si="13"/>
        <v>0</v>
      </c>
      <c r="X57" s="12">
        <f t="shared" si="13"/>
        <v>0</v>
      </c>
      <c r="Y57" s="12">
        <f t="shared" si="13"/>
        <v>0</v>
      </c>
      <c r="Z57" s="12">
        <f t="shared" si="13"/>
        <v>0</v>
      </c>
      <c r="AA57" s="12">
        <f t="shared" si="13"/>
        <v>0</v>
      </c>
      <c r="AB57" s="12">
        <f t="shared" si="13"/>
        <v>0</v>
      </c>
      <c r="AC57" s="12">
        <f t="shared" si="13"/>
        <v>0</v>
      </c>
      <c r="AD57" s="12">
        <f t="shared" si="13"/>
        <v>0</v>
      </c>
      <c r="AE57" s="12">
        <f t="shared" si="13"/>
        <v>0</v>
      </c>
      <c r="AF57" s="12">
        <f t="shared" si="13"/>
        <v>0</v>
      </c>
      <c r="AG57" s="12">
        <f t="shared" si="13"/>
        <v>0</v>
      </c>
      <c r="AH57" s="12">
        <f t="shared" si="13"/>
        <v>0</v>
      </c>
      <c r="AI57" s="12">
        <f t="shared" si="13"/>
        <v>0</v>
      </c>
      <c r="AJ57" s="12">
        <f t="shared" si="13"/>
        <v>0</v>
      </c>
      <c r="AK57" s="12">
        <f t="shared" si="13"/>
        <v>0</v>
      </c>
      <c r="AL57" s="12">
        <f t="shared" si="13"/>
        <v>0</v>
      </c>
    </row>
    <row r="58" spans="1:38" ht="18.75" hidden="1" customHeight="1" outlineLevel="1">
      <c r="A58" s="1246"/>
      <c r="B58" s="307">
        <f>+Catálogo!B16</f>
        <v>0</v>
      </c>
      <c r="C58" s="12">
        <f t="shared" si="3"/>
        <v>0</v>
      </c>
      <c r="D58" s="12">
        <f t="shared" ref="D58:AL58" si="14">C58+D20-D40</f>
        <v>0</v>
      </c>
      <c r="E58" s="12">
        <f t="shared" si="14"/>
        <v>0</v>
      </c>
      <c r="F58" s="12">
        <f t="shared" si="14"/>
        <v>0</v>
      </c>
      <c r="G58" s="12">
        <f t="shared" si="14"/>
        <v>0</v>
      </c>
      <c r="H58" s="12">
        <f t="shared" si="14"/>
        <v>0</v>
      </c>
      <c r="I58" s="12">
        <f t="shared" si="14"/>
        <v>0</v>
      </c>
      <c r="J58" s="12">
        <f t="shared" si="14"/>
        <v>0</v>
      </c>
      <c r="K58" s="12">
        <f t="shared" si="14"/>
        <v>0</v>
      </c>
      <c r="L58" s="12">
        <f t="shared" si="14"/>
        <v>0</v>
      </c>
      <c r="M58" s="12">
        <f t="shared" si="14"/>
        <v>0</v>
      </c>
      <c r="N58" s="12">
        <f t="shared" si="14"/>
        <v>0</v>
      </c>
      <c r="O58" s="12">
        <f t="shared" si="14"/>
        <v>0</v>
      </c>
      <c r="P58" s="12">
        <f t="shared" si="14"/>
        <v>0</v>
      </c>
      <c r="Q58" s="12">
        <f t="shared" si="14"/>
        <v>0</v>
      </c>
      <c r="R58" s="12">
        <f t="shared" si="14"/>
        <v>0</v>
      </c>
      <c r="S58" s="12">
        <f t="shared" si="14"/>
        <v>0</v>
      </c>
      <c r="T58" s="12">
        <f t="shared" si="14"/>
        <v>0</v>
      </c>
      <c r="U58" s="12">
        <f t="shared" si="14"/>
        <v>0</v>
      </c>
      <c r="V58" s="12">
        <f t="shared" si="14"/>
        <v>0</v>
      </c>
      <c r="W58" s="12">
        <f t="shared" si="14"/>
        <v>0</v>
      </c>
      <c r="X58" s="12">
        <f t="shared" si="14"/>
        <v>0</v>
      </c>
      <c r="Y58" s="12">
        <f t="shared" si="14"/>
        <v>0</v>
      </c>
      <c r="Z58" s="12">
        <f t="shared" si="14"/>
        <v>0</v>
      </c>
      <c r="AA58" s="12">
        <f t="shared" si="14"/>
        <v>0</v>
      </c>
      <c r="AB58" s="12">
        <f t="shared" si="14"/>
        <v>0</v>
      </c>
      <c r="AC58" s="12">
        <f t="shared" si="14"/>
        <v>0</v>
      </c>
      <c r="AD58" s="12">
        <f t="shared" si="14"/>
        <v>0</v>
      </c>
      <c r="AE58" s="12">
        <f t="shared" si="14"/>
        <v>0</v>
      </c>
      <c r="AF58" s="12">
        <f t="shared" si="14"/>
        <v>0</v>
      </c>
      <c r="AG58" s="12">
        <f t="shared" si="14"/>
        <v>0</v>
      </c>
      <c r="AH58" s="12">
        <f t="shared" si="14"/>
        <v>0</v>
      </c>
      <c r="AI58" s="12">
        <f t="shared" si="14"/>
        <v>0</v>
      </c>
      <c r="AJ58" s="12">
        <f t="shared" si="14"/>
        <v>0</v>
      </c>
      <c r="AK58" s="12">
        <f t="shared" si="14"/>
        <v>0</v>
      </c>
      <c r="AL58" s="12">
        <f t="shared" si="14"/>
        <v>0</v>
      </c>
    </row>
    <row r="59" spans="1:38" ht="18.75" hidden="1" customHeight="1" outlineLevel="1">
      <c r="A59" s="1246"/>
      <c r="B59" s="307">
        <f>+Catálogo!B17</f>
        <v>0</v>
      </c>
      <c r="C59" s="12">
        <f t="shared" si="3"/>
        <v>0</v>
      </c>
      <c r="D59" s="12">
        <f t="shared" ref="D59:AL59" si="15">C59+D21-D41</f>
        <v>0</v>
      </c>
      <c r="E59" s="12">
        <f t="shared" si="15"/>
        <v>0</v>
      </c>
      <c r="F59" s="12">
        <f t="shared" si="15"/>
        <v>0</v>
      </c>
      <c r="G59" s="12">
        <f t="shared" si="15"/>
        <v>0</v>
      </c>
      <c r="H59" s="12">
        <f t="shared" si="15"/>
        <v>0</v>
      </c>
      <c r="I59" s="12">
        <f t="shared" si="15"/>
        <v>0</v>
      </c>
      <c r="J59" s="12">
        <f t="shared" si="15"/>
        <v>0</v>
      </c>
      <c r="K59" s="12">
        <f t="shared" si="15"/>
        <v>0</v>
      </c>
      <c r="L59" s="12">
        <f t="shared" si="15"/>
        <v>0</v>
      </c>
      <c r="M59" s="12">
        <f t="shared" si="15"/>
        <v>0</v>
      </c>
      <c r="N59" s="12">
        <f t="shared" si="15"/>
        <v>0</v>
      </c>
      <c r="O59" s="12">
        <f t="shared" si="15"/>
        <v>0</v>
      </c>
      <c r="P59" s="12">
        <f t="shared" si="15"/>
        <v>0</v>
      </c>
      <c r="Q59" s="12">
        <f t="shared" si="15"/>
        <v>0</v>
      </c>
      <c r="R59" s="12">
        <f t="shared" si="15"/>
        <v>0</v>
      </c>
      <c r="S59" s="12">
        <f t="shared" si="15"/>
        <v>0</v>
      </c>
      <c r="T59" s="12">
        <f t="shared" si="15"/>
        <v>0</v>
      </c>
      <c r="U59" s="12">
        <f t="shared" si="15"/>
        <v>0</v>
      </c>
      <c r="V59" s="12">
        <f t="shared" si="15"/>
        <v>0</v>
      </c>
      <c r="W59" s="12">
        <f t="shared" si="15"/>
        <v>0</v>
      </c>
      <c r="X59" s="12">
        <f t="shared" si="15"/>
        <v>0</v>
      </c>
      <c r="Y59" s="12">
        <f t="shared" si="15"/>
        <v>0</v>
      </c>
      <c r="Z59" s="12">
        <f t="shared" si="15"/>
        <v>0</v>
      </c>
      <c r="AA59" s="12">
        <f t="shared" si="15"/>
        <v>0</v>
      </c>
      <c r="AB59" s="12">
        <f t="shared" si="15"/>
        <v>0</v>
      </c>
      <c r="AC59" s="12">
        <f t="shared" si="15"/>
        <v>0</v>
      </c>
      <c r="AD59" s="12">
        <f t="shared" si="15"/>
        <v>0</v>
      </c>
      <c r="AE59" s="12">
        <f t="shared" si="15"/>
        <v>0</v>
      </c>
      <c r="AF59" s="12">
        <f t="shared" si="15"/>
        <v>0</v>
      </c>
      <c r="AG59" s="12">
        <f t="shared" si="15"/>
        <v>0</v>
      </c>
      <c r="AH59" s="12">
        <f t="shared" si="15"/>
        <v>0</v>
      </c>
      <c r="AI59" s="12">
        <f t="shared" si="15"/>
        <v>0</v>
      </c>
      <c r="AJ59" s="12">
        <f t="shared" si="15"/>
        <v>0</v>
      </c>
      <c r="AK59" s="12">
        <f t="shared" si="15"/>
        <v>0</v>
      </c>
      <c r="AL59" s="12">
        <f t="shared" si="15"/>
        <v>0</v>
      </c>
    </row>
    <row r="60" spans="1:38" ht="18.75" hidden="1" customHeight="1" outlineLevel="1">
      <c r="A60" s="1246"/>
      <c r="B60" s="307">
        <f>+Catálogo!B18</f>
        <v>0</v>
      </c>
      <c r="C60" s="12">
        <f t="shared" si="3"/>
        <v>0</v>
      </c>
      <c r="D60" s="12">
        <f t="shared" ref="D60:AL60" si="16">C60+D22-D42</f>
        <v>0</v>
      </c>
      <c r="E60" s="12">
        <f t="shared" si="16"/>
        <v>0</v>
      </c>
      <c r="F60" s="12">
        <f t="shared" si="16"/>
        <v>0</v>
      </c>
      <c r="G60" s="12">
        <f t="shared" si="16"/>
        <v>0</v>
      </c>
      <c r="H60" s="12">
        <f t="shared" si="16"/>
        <v>0</v>
      </c>
      <c r="I60" s="12">
        <f t="shared" si="16"/>
        <v>0</v>
      </c>
      <c r="J60" s="12">
        <f t="shared" si="16"/>
        <v>0</v>
      </c>
      <c r="K60" s="12">
        <f t="shared" si="16"/>
        <v>0</v>
      </c>
      <c r="L60" s="12">
        <f t="shared" si="16"/>
        <v>0</v>
      </c>
      <c r="M60" s="12">
        <f t="shared" si="16"/>
        <v>0</v>
      </c>
      <c r="N60" s="12">
        <f t="shared" si="16"/>
        <v>0</v>
      </c>
      <c r="O60" s="12">
        <f t="shared" si="16"/>
        <v>0</v>
      </c>
      <c r="P60" s="12">
        <f t="shared" si="16"/>
        <v>0</v>
      </c>
      <c r="Q60" s="12">
        <f t="shared" si="16"/>
        <v>0</v>
      </c>
      <c r="R60" s="12">
        <f t="shared" si="16"/>
        <v>0</v>
      </c>
      <c r="S60" s="12">
        <f t="shared" si="16"/>
        <v>0</v>
      </c>
      <c r="T60" s="12">
        <f t="shared" si="16"/>
        <v>0</v>
      </c>
      <c r="U60" s="12">
        <f t="shared" si="16"/>
        <v>0</v>
      </c>
      <c r="V60" s="12">
        <f t="shared" si="16"/>
        <v>0</v>
      </c>
      <c r="W60" s="12">
        <f t="shared" si="16"/>
        <v>0</v>
      </c>
      <c r="X60" s="12">
        <f t="shared" si="16"/>
        <v>0</v>
      </c>
      <c r="Y60" s="12">
        <f t="shared" si="16"/>
        <v>0</v>
      </c>
      <c r="Z60" s="12">
        <f t="shared" si="16"/>
        <v>0</v>
      </c>
      <c r="AA60" s="12">
        <f t="shared" si="16"/>
        <v>0</v>
      </c>
      <c r="AB60" s="12">
        <f t="shared" si="16"/>
        <v>0</v>
      </c>
      <c r="AC60" s="12">
        <f t="shared" si="16"/>
        <v>0</v>
      </c>
      <c r="AD60" s="12">
        <f t="shared" si="16"/>
        <v>0</v>
      </c>
      <c r="AE60" s="12">
        <f t="shared" si="16"/>
        <v>0</v>
      </c>
      <c r="AF60" s="12">
        <f t="shared" si="16"/>
        <v>0</v>
      </c>
      <c r="AG60" s="12">
        <f t="shared" si="16"/>
        <v>0</v>
      </c>
      <c r="AH60" s="12">
        <f t="shared" si="16"/>
        <v>0</v>
      </c>
      <c r="AI60" s="12">
        <f t="shared" si="16"/>
        <v>0</v>
      </c>
      <c r="AJ60" s="12">
        <f t="shared" si="16"/>
        <v>0</v>
      </c>
      <c r="AK60" s="12">
        <f t="shared" si="16"/>
        <v>0</v>
      </c>
      <c r="AL60" s="12">
        <f t="shared" si="16"/>
        <v>0</v>
      </c>
    </row>
    <row r="61" spans="1:38" ht="18.75" hidden="1" customHeight="1" outlineLevel="1">
      <c r="A61" s="1246"/>
      <c r="B61" s="307">
        <f>+Catálogo!B19</f>
        <v>0</v>
      </c>
      <c r="C61" s="12">
        <f t="shared" si="3"/>
        <v>0</v>
      </c>
      <c r="D61" s="12">
        <f t="shared" ref="D61:AL61" si="17">C61+D23-D43</f>
        <v>0</v>
      </c>
      <c r="E61" s="12">
        <f t="shared" si="17"/>
        <v>0</v>
      </c>
      <c r="F61" s="12">
        <f t="shared" si="17"/>
        <v>0</v>
      </c>
      <c r="G61" s="12">
        <f t="shared" si="17"/>
        <v>0</v>
      </c>
      <c r="H61" s="12">
        <f t="shared" si="17"/>
        <v>0</v>
      </c>
      <c r="I61" s="12">
        <f t="shared" si="17"/>
        <v>0</v>
      </c>
      <c r="J61" s="12">
        <f t="shared" si="17"/>
        <v>0</v>
      </c>
      <c r="K61" s="12">
        <f t="shared" si="17"/>
        <v>0</v>
      </c>
      <c r="L61" s="12">
        <f t="shared" si="17"/>
        <v>0</v>
      </c>
      <c r="M61" s="12">
        <f t="shared" si="17"/>
        <v>0</v>
      </c>
      <c r="N61" s="12">
        <f t="shared" si="17"/>
        <v>0</v>
      </c>
      <c r="O61" s="12">
        <f t="shared" si="17"/>
        <v>0</v>
      </c>
      <c r="P61" s="12">
        <f t="shared" si="17"/>
        <v>0</v>
      </c>
      <c r="Q61" s="12">
        <f t="shared" si="17"/>
        <v>0</v>
      </c>
      <c r="R61" s="12">
        <f t="shared" si="17"/>
        <v>0</v>
      </c>
      <c r="S61" s="12">
        <f t="shared" si="17"/>
        <v>0</v>
      </c>
      <c r="T61" s="12">
        <f t="shared" si="17"/>
        <v>0</v>
      </c>
      <c r="U61" s="12">
        <f t="shared" si="17"/>
        <v>0</v>
      </c>
      <c r="V61" s="12">
        <f t="shared" si="17"/>
        <v>0</v>
      </c>
      <c r="W61" s="12">
        <f t="shared" si="17"/>
        <v>0</v>
      </c>
      <c r="X61" s="12">
        <f t="shared" si="17"/>
        <v>0</v>
      </c>
      <c r="Y61" s="12">
        <f t="shared" si="17"/>
        <v>0</v>
      </c>
      <c r="Z61" s="12">
        <f t="shared" si="17"/>
        <v>0</v>
      </c>
      <c r="AA61" s="12">
        <f t="shared" si="17"/>
        <v>0</v>
      </c>
      <c r="AB61" s="12">
        <f t="shared" si="17"/>
        <v>0</v>
      </c>
      <c r="AC61" s="12">
        <f t="shared" si="17"/>
        <v>0</v>
      </c>
      <c r="AD61" s="12">
        <f t="shared" si="17"/>
        <v>0</v>
      </c>
      <c r="AE61" s="12">
        <f t="shared" si="17"/>
        <v>0</v>
      </c>
      <c r="AF61" s="12">
        <f t="shared" si="17"/>
        <v>0</v>
      </c>
      <c r="AG61" s="12">
        <f t="shared" si="17"/>
        <v>0</v>
      </c>
      <c r="AH61" s="12">
        <f t="shared" si="17"/>
        <v>0</v>
      </c>
      <c r="AI61" s="12">
        <f t="shared" si="17"/>
        <v>0</v>
      </c>
      <c r="AJ61" s="12">
        <f t="shared" si="17"/>
        <v>0</v>
      </c>
      <c r="AK61" s="12">
        <f t="shared" si="17"/>
        <v>0</v>
      </c>
      <c r="AL61" s="12">
        <f t="shared" si="17"/>
        <v>0</v>
      </c>
    </row>
    <row r="62" spans="1:38" ht="18.75" hidden="1" customHeight="1" outlineLevel="1">
      <c r="A62" s="1246"/>
      <c r="B62" s="307">
        <f>+Catálogo!B20</f>
        <v>0</v>
      </c>
      <c r="C62" s="12">
        <f t="shared" si="3"/>
        <v>0</v>
      </c>
      <c r="D62" s="12">
        <f t="shared" ref="D62:AL62" si="18">C62+D24-D44</f>
        <v>0</v>
      </c>
      <c r="E62" s="12">
        <f t="shared" si="18"/>
        <v>0</v>
      </c>
      <c r="F62" s="12">
        <f t="shared" si="18"/>
        <v>0</v>
      </c>
      <c r="G62" s="12">
        <f t="shared" si="18"/>
        <v>0</v>
      </c>
      <c r="H62" s="12">
        <f t="shared" si="18"/>
        <v>0</v>
      </c>
      <c r="I62" s="12">
        <f t="shared" si="18"/>
        <v>0</v>
      </c>
      <c r="J62" s="12">
        <f t="shared" si="18"/>
        <v>0</v>
      </c>
      <c r="K62" s="12">
        <f t="shared" si="18"/>
        <v>0</v>
      </c>
      <c r="L62" s="12">
        <f t="shared" si="18"/>
        <v>0</v>
      </c>
      <c r="M62" s="12">
        <f t="shared" si="18"/>
        <v>0</v>
      </c>
      <c r="N62" s="12">
        <f t="shared" si="18"/>
        <v>0</v>
      </c>
      <c r="O62" s="12">
        <f t="shared" si="18"/>
        <v>0</v>
      </c>
      <c r="P62" s="12">
        <f t="shared" si="18"/>
        <v>0</v>
      </c>
      <c r="Q62" s="12">
        <f t="shared" si="18"/>
        <v>0</v>
      </c>
      <c r="R62" s="12">
        <f t="shared" si="18"/>
        <v>0</v>
      </c>
      <c r="S62" s="12">
        <f t="shared" si="18"/>
        <v>0</v>
      </c>
      <c r="T62" s="12">
        <f t="shared" si="18"/>
        <v>0</v>
      </c>
      <c r="U62" s="12">
        <f t="shared" si="18"/>
        <v>0</v>
      </c>
      <c r="V62" s="12">
        <f t="shared" si="18"/>
        <v>0</v>
      </c>
      <c r="W62" s="12">
        <f t="shared" si="18"/>
        <v>0</v>
      </c>
      <c r="X62" s="12">
        <f t="shared" si="18"/>
        <v>0</v>
      </c>
      <c r="Y62" s="12">
        <f t="shared" si="18"/>
        <v>0</v>
      </c>
      <c r="Z62" s="12">
        <f t="shared" si="18"/>
        <v>0</v>
      </c>
      <c r="AA62" s="12">
        <f t="shared" si="18"/>
        <v>0</v>
      </c>
      <c r="AB62" s="12">
        <f t="shared" si="18"/>
        <v>0</v>
      </c>
      <c r="AC62" s="12">
        <f t="shared" si="18"/>
        <v>0</v>
      </c>
      <c r="AD62" s="12">
        <f t="shared" si="18"/>
        <v>0</v>
      </c>
      <c r="AE62" s="12">
        <f t="shared" si="18"/>
        <v>0</v>
      </c>
      <c r="AF62" s="12">
        <f t="shared" si="18"/>
        <v>0</v>
      </c>
      <c r="AG62" s="12">
        <f t="shared" si="18"/>
        <v>0</v>
      </c>
      <c r="AH62" s="12">
        <f t="shared" si="18"/>
        <v>0</v>
      </c>
      <c r="AI62" s="12">
        <f t="shared" si="18"/>
        <v>0</v>
      </c>
      <c r="AJ62" s="12">
        <f t="shared" si="18"/>
        <v>0</v>
      </c>
      <c r="AK62" s="12">
        <f t="shared" si="18"/>
        <v>0</v>
      </c>
      <c r="AL62" s="12">
        <f t="shared" si="18"/>
        <v>0</v>
      </c>
    </row>
    <row r="63" spans="1:38" s="456" customFormat="1" ht="21.75" collapsed="1" thickBot="1">
      <c r="A63" s="1247"/>
      <c r="B63" s="457" t="s">
        <v>453</v>
      </c>
      <c r="C63" s="458">
        <f>SUM(C48:C62)</f>
        <v>0</v>
      </c>
      <c r="D63" s="458">
        <f t="shared" ref="D63" si="19">SUM(D48:D62)</f>
        <v>0</v>
      </c>
      <c r="E63" s="458">
        <f t="shared" ref="E63" si="20">SUM(E48:E62)</f>
        <v>0</v>
      </c>
      <c r="F63" s="458">
        <f t="shared" ref="F63" si="21">SUM(F48:F62)</f>
        <v>0</v>
      </c>
      <c r="G63" s="458">
        <f t="shared" ref="G63" si="22">SUM(G48:G62)</f>
        <v>0</v>
      </c>
      <c r="H63" s="458">
        <f t="shared" ref="H63" si="23">SUM(H48:H62)</f>
        <v>0</v>
      </c>
      <c r="I63" s="458">
        <f t="shared" ref="I63" si="24">SUM(I48:I62)</f>
        <v>0</v>
      </c>
      <c r="J63" s="458">
        <f t="shared" ref="J63" si="25">SUM(J48:J62)</f>
        <v>0</v>
      </c>
      <c r="K63" s="458">
        <f t="shared" ref="K63" si="26">SUM(K48:K62)</f>
        <v>0</v>
      </c>
      <c r="L63" s="458">
        <f t="shared" ref="L63" si="27">SUM(L48:L62)</f>
        <v>0</v>
      </c>
      <c r="M63" s="458">
        <f t="shared" ref="M63" si="28">SUM(M48:M62)</f>
        <v>0</v>
      </c>
      <c r="N63" s="458">
        <f t="shared" ref="N63" si="29">SUM(N48:N62)</f>
        <v>0</v>
      </c>
      <c r="O63" s="458">
        <f t="shared" ref="O63" si="30">SUM(O48:O62)</f>
        <v>0</v>
      </c>
      <c r="P63" s="458">
        <f t="shared" ref="P63" si="31">SUM(P48:P62)</f>
        <v>0</v>
      </c>
      <c r="Q63" s="458">
        <f t="shared" ref="Q63" si="32">SUM(Q48:Q62)</f>
        <v>0</v>
      </c>
      <c r="R63" s="458">
        <f t="shared" ref="R63" si="33">SUM(R48:R62)</f>
        <v>0</v>
      </c>
      <c r="S63" s="458">
        <f t="shared" ref="S63" si="34">SUM(S48:S62)</f>
        <v>0</v>
      </c>
      <c r="T63" s="458">
        <f t="shared" ref="T63" si="35">SUM(T48:T62)</f>
        <v>0</v>
      </c>
      <c r="U63" s="458">
        <f t="shared" ref="U63" si="36">SUM(U48:U62)</f>
        <v>0</v>
      </c>
      <c r="V63" s="458">
        <f t="shared" ref="V63" si="37">SUM(V48:V62)</f>
        <v>0</v>
      </c>
      <c r="W63" s="458">
        <f t="shared" ref="W63" si="38">SUM(W48:W62)</f>
        <v>0</v>
      </c>
      <c r="X63" s="458">
        <f t="shared" ref="X63" si="39">SUM(X48:X62)</f>
        <v>0</v>
      </c>
      <c r="Y63" s="458">
        <f t="shared" ref="Y63" si="40">SUM(Y48:Y62)</f>
        <v>0</v>
      </c>
      <c r="Z63" s="458">
        <f t="shared" ref="Z63" si="41">SUM(Z48:Z62)</f>
        <v>0</v>
      </c>
      <c r="AA63" s="458">
        <f t="shared" ref="AA63" si="42">SUM(AA48:AA62)</f>
        <v>0</v>
      </c>
      <c r="AB63" s="458">
        <f t="shared" ref="AB63" si="43">SUM(AB48:AB62)</f>
        <v>0</v>
      </c>
      <c r="AC63" s="458">
        <f t="shared" ref="AC63" si="44">SUM(AC48:AC62)</f>
        <v>0</v>
      </c>
      <c r="AD63" s="458">
        <f t="shared" ref="AD63" si="45">SUM(AD48:AD62)</f>
        <v>0</v>
      </c>
      <c r="AE63" s="458">
        <f t="shared" ref="AE63" si="46">SUM(AE48:AE62)</f>
        <v>0</v>
      </c>
      <c r="AF63" s="458">
        <f t="shared" ref="AF63" si="47">SUM(AF48:AF62)</f>
        <v>0</v>
      </c>
      <c r="AG63" s="458">
        <f t="shared" ref="AG63" si="48">SUM(AG48:AG62)</f>
        <v>0</v>
      </c>
      <c r="AH63" s="458">
        <f t="shared" ref="AH63" si="49">SUM(AH48:AH62)</f>
        <v>0</v>
      </c>
      <c r="AI63" s="458">
        <f t="shared" ref="AI63" si="50">SUM(AI48:AI62)</f>
        <v>0</v>
      </c>
      <c r="AJ63" s="458">
        <f t="shared" ref="AJ63" si="51">SUM(AJ48:AJ62)</f>
        <v>0</v>
      </c>
      <c r="AK63" s="458">
        <f t="shared" ref="AK63" si="52">SUM(AK48:AK62)</f>
        <v>0</v>
      </c>
      <c r="AL63" s="458">
        <f t="shared" ref="AL63" si="53">SUM(AL48:AL62)</f>
        <v>0</v>
      </c>
    </row>
    <row r="65" spans="2:38" ht="18.75">
      <c r="B65" s="455" t="s">
        <v>459</v>
      </c>
    </row>
    <row r="66" spans="2:38" ht="18.75">
      <c r="B66" s="459" t="s">
        <v>457</v>
      </c>
      <c r="C66" s="454">
        <f>IF(ISERROR((+C5+#REF!)/C25),0,((+C5+#REF!)/C25))</f>
        <v>0</v>
      </c>
      <c r="D66" s="454">
        <f>IF(ISERROR((+D5+#REF!)/D25),0,((+D5+#REF!)/D25))</f>
        <v>0</v>
      </c>
      <c r="E66" s="454">
        <f>IF(ISERROR((+E5+#REF!)/E25),0,((+E5+#REF!)/E25))</f>
        <v>0</v>
      </c>
      <c r="F66" s="454">
        <f>IF(ISERROR((+F5+#REF!)/F25),0,((+F5+#REF!)/F25))</f>
        <v>0</v>
      </c>
      <c r="G66" s="454">
        <f>IF(ISERROR((+G5+#REF!)/G25),0,((+G5+#REF!)/G25))</f>
        <v>0</v>
      </c>
      <c r="H66" s="454">
        <f>IF(ISERROR((+H5+#REF!)/H25),0,((+H5+#REF!)/H25))</f>
        <v>0</v>
      </c>
      <c r="I66" s="454">
        <f>IF(ISERROR((+I5+#REF!)/I25),0,((+I5+#REF!)/I25))</f>
        <v>0</v>
      </c>
      <c r="J66" s="454">
        <f>IF(ISERROR((+J5+#REF!)/J25),0,((+J5+#REF!)/J25))</f>
        <v>0</v>
      </c>
      <c r="K66" s="454">
        <f>IF(ISERROR((+K5+#REF!)/K25),0,((+K5+#REF!)/K25))</f>
        <v>0</v>
      </c>
      <c r="L66" s="454">
        <f>IF(ISERROR((+L5+#REF!)/L25),0,((+L5+#REF!)/L25))</f>
        <v>0</v>
      </c>
      <c r="M66" s="454">
        <f>IF(ISERROR((+M5+#REF!)/M25),0,((+M5+#REF!)/M25))</f>
        <v>0</v>
      </c>
      <c r="N66" s="454">
        <f>IF(ISERROR((+N5+#REF!)/N25),0,((+N5+#REF!)/N25))</f>
        <v>0</v>
      </c>
      <c r="O66" s="454">
        <f>IF(ISERROR((+O5+#REF!)/O25),0,((+O5+#REF!)/O25))</f>
        <v>0</v>
      </c>
      <c r="P66" s="454">
        <f>IF(ISERROR((+P5+#REF!)/P25),0,((+P5+#REF!)/P25))</f>
        <v>0</v>
      </c>
      <c r="Q66" s="454">
        <f>IF(ISERROR((+Q5+#REF!)/Q25),0,((+Q5+#REF!)/Q25))</f>
        <v>0</v>
      </c>
      <c r="R66" s="454">
        <f>IF(ISERROR((+R5+#REF!)/R25),0,((+R5+#REF!)/R25))</f>
        <v>0</v>
      </c>
      <c r="S66" s="454">
        <f>IF(ISERROR((+S5+#REF!)/S25),0,((+S5+#REF!)/S25))</f>
        <v>0</v>
      </c>
      <c r="T66" s="454">
        <f>IF(ISERROR((+T5+#REF!)/T25),0,((+T5+#REF!)/T25))</f>
        <v>0</v>
      </c>
      <c r="U66" s="454">
        <f>IF(ISERROR((+U5+#REF!)/U25),0,((+U5+#REF!)/U25))</f>
        <v>0</v>
      </c>
      <c r="V66" s="454">
        <f>IF(ISERROR((+V5+#REF!)/V25),0,((+V5+#REF!)/V25))</f>
        <v>0</v>
      </c>
      <c r="W66" s="454">
        <f>IF(ISERROR((+W5+#REF!)/W25),0,((+W5+#REF!)/W25))</f>
        <v>0</v>
      </c>
      <c r="X66" s="454">
        <f>IF(ISERROR((+X5+#REF!)/X25),0,((+X5+#REF!)/X25))</f>
        <v>0</v>
      </c>
      <c r="Y66" s="454">
        <f>IF(ISERROR((+Y5+#REF!)/Y25),0,((+Y5+#REF!)/Y25))</f>
        <v>0</v>
      </c>
      <c r="Z66" s="454">
        <f>IF(ISERROR((+Z5+#REF!)/Z25),0,((+Z5+#REF!)/Z25))</f>
        <v>0</v>
      </c>
      <c r="AA66" s="454">
        <f>IF(ISERROR((+AA5+#REF!)/AA25),0,((+AA5+#REF!)/AA25))</f>
        <v>0</v>
      </c>
      <c r="AB66" s="454">
        <f>IF(ISERROR((+AB5+#REF!)/AB25),0,((+AB5+#REF!)/AB25))</f>
        <v>0</v>
      </c>
      <c r="AC66" s="454">
        <f>IF(ISERROR((+AC5+#REF!)/AC25),0,((+AC5+#REF!)/AC25))</f>
        <v>0</v>
      </c>
      <c r="AD66" s="454">
        <f>IF(ISERROR((+AD5+#REF!)/AD25),0,((+AD5+#REF!)/AD25))</f>
        <v>0</v>
      </c>
      <c r="AE66" s="454">
        <f>IF(ISERROR((+AE5+#REF!)/AE25),0,((+AE5+#REF!)/AE25))</f>
        <v>0</v>
      </c>
      <c r="AF66" s="454">
        <f>IF(ISERROR((+AF5+#REF!)/AF25),0,((+AF5+#REF!)/AF25))</f>
        <v>0</v>
      </c>
      <c r="AG66" s="454">
        <f>IF(ISERROR((+AG5+#REF!)/AG25),0,((+AG5+#REF!)/AG25))</f>
        <v>0</v>
      </c>
      <c r="AH66" s="454">
        <f>IF(ISERROR((+AH5+#REF!)/AH25),0,((+AH5+#REF!)/AH25))</f>
        <v>0</v>
      </c>
      <c r="AI66" s="454">
        <f>IF(ISERROR((+AI5+#REF!)/AI25),0,((+AI5+#REF!)/AI25))</f>
        <v>0</v>
      </c>
      <c r="AJ66" s="454">
        <f>IF(ISERROR((+AJ5+#REF!)/AJ25),0,((+AJ5+#REF!)/AJ25))</f>
        <v>0</v>
      </c>
      <c r="AK66" s="454">
        <f>IF(ISERROR((+AK5+#REF!)/AK25),0,((+AK5+#REF!)/AK25))</f>
        <v>0</v>
      </c>
      <c r="AL66" s="454">
        <f>IF(ISERROR((+AL5+#REF!)/AL25),0,((+AL5+#REF!)/AL25))</f>
        <v>0</v>
      </c>
    </row>
    <row r="68" spans="2:38" ht="18.75">
      <c r="B68" s="455" t="s">
        <v>460</v>
      </c>
    </row>
    <row r="69" spans="2:38" s="460" customFormat="1" ht="15">
      <c r="B69" s="461" t="s">
        <v>461</v>
      </c>
      <c r="C69" s="342">
        <f>+C63</f>
        <v>0</v>
      </c>
      <c r="D69" s="342">
        <f>+D63-C63</f>
        <v>0</v>
      </c>
      <c r="E69" s="342">
        <f t="shared" ref="E69:AL69" si="54">+E63-D63</f>
        <v>0</v>
      </c>
      <c r="F69" s="342">
        <f>+F63-E63</f>
        <v>0</v>
      </c>
      <c r="G69" s="342">
        <f t="shared" si="54"/>
        <v>0</v>
      </c>
      <c r="H69" s="342">
        <f t="shared" si="54"/>
        <v>0</v>
      </c>
      <c r="I69" s="342">
        <f t="shared" si="54"/>
        <v>0</v>
      </c>
      <c r="J69" s="342">
        <f t="shared" si="54"/>
        <v>0</v>
      </c>
      <c r="K69" s="342">
        <f t="shared" si="54"/>
        <v>0</v>
      </c>
      <c r="L69" s="342">
        <f t="shared" si="54"/>
        <v>0</v>
      </c>
      <c r="M69" s="342">
        <f t="shared" si="54"/>
        <v>0</v>
      </c>
      <c r="N69" s="342">
        <f t="shared" si="54"/>
        <v>0</v>
      </c>
      <c r="O69" s="342">
        <f t="shared" si="54"/>
        <v>0</v>
      </c>
      <c r="P69" s="342">
        <f t="shared" si="54"/>
        <v>0</v>
      </c>
      <c r="Q69" s="342">
        <f t="shared" si="54"/>
        <v>0</v>
      </c>
      <c r="R69" s="342">
        <f t="shared" si="54"/>
        <v>0</v>
      </c>
      <c r="S69" s="342">
        <f t="shared" si="54"/>
        <v>0</v>
      </c>
      <c r="T69" s="342">
        <f t="shared" si="54"/>
        <v>0</v>
      </c>
      <c r="U69" s="342">
        <f t="shared" si="54"/>
        <v>0</v>
      </c>
      <c r="V69" s="342">
        <f t="shared" si="54"/>
        <v>0</v>
      </c>
      <c r="W69" s="342">
        <f t="shared" si="54"/>
        <v>0</v>
      </c>
      <c r="X69" s="342">
        <f t="shared" si="54"/>
        <v>0</v>
      </c>
      <c r="Y69" s="342">
        <f t="shared" si="54"/>
        <v>0</v>
      </c>
      <c r="Z69" s="342">
        <f t="shared" si="54"/>
        <v>0</v>
      </c>
      <c r="AA69" s="342">
        <f t="shared" si="54"/>
        <v>0</v>
      </c>
      <c r="AB69" s="342">
        <f t="shared" si="54"/>
        <v>0</v>
      </c>
      <c r="AC69" s="342">
        <f t="shared" si="54"/>
        <v>0</v>
      </c>
      <c r="AD69" s="342">
        <f t="shared" si="54"/>
        <v>0</v>
      </c>
      <c r="AE69" s="342">
        <f t="shared" si="54"/>
        <v>0</v>
      </c>
      <c r="AF69" s="342">
        <f t="shared" si="54"/>
        <v>0</v>
      </c>
      <c r="AG69" s="342">
        <f t="shared" si="54"/>
        <v>0</v>
      </c>
      <c r="AH69" s="342">
        <f t="shared" si="54"/>
        <v>0</v>
      </c>
      <c r="AI69" s="342">
        <f t="shared" si="54"/>
        <v>0</v>
      </c>
      <c r="AJ69" s="342">
        <f t="shared" si="54"/>
        <v>0</v>
      </c>
      <c r="AK69" s="342">
        <f t="shared" si="54"/>
        <v>0</v>
      </c>
      <c r="AL69" s="342">
        <f t="shared" si="54"/>
        <v>0</v>
      </c>
    </row>
    <row r="70" spans="2:38" s="460" customFormat="1" ht="15">
      <c r="B70" s="461" t="s">
        <v>464</v>
      </c>
      <c r="C70" s="342">
        <f>IF(ISERROR(1/C69),0,(1/C69))</f>
        <v>0</v>
      </c>
      <c r="D70" s="342">
        <f t="shared" ref="D70:AL70" si="55">IF(ISERROR(1/D69),0,(1/D69))</f>
        <v>0</v>
      </c>
      <c r="E70" s="342">
        <f t="shared" si="55"/>
        <v>0</v>
      </c>
      <c r="F70" s="342">
        <f>IF(ISERROR(1/F69),0,(1/F69))</f>
        <v>0</v>
      </c>
      <c r="G70" s="342">
        <f t="shared" si="55"/>
        <v>0</v>
      </c>
      <c r="H70" s="342">
        <f t="shared" si="55"/>
        <v>0</v>
      </c>
      <c r="I70" s="342">
        <f t="shared" si="55"/>
        <v>0</v>
      </c>
      <c r="J70" s="342">
        <f t="shared" si="55"/>
        <v>0</v>
      </c>
      <c r="K70" s="342">
        <f t="shared" si="55"/>
        <v>0</v>
      </c>
      <c r="L70" s="342">
        <f t="shared" si="55"/>
        <v>0</v>
      </c>
      <c r="M70" s="342">
        <f t="shared" si="55"/>
        <v>0</v>
      </c>
      <c r="N70" s="342">
        <f t="shared" si="55"/>
        <v>0</v>
      </c>
      <c r="O70" s="342">
        <f t="shared" si="55"/>
        <v>0</v>
      </c>
      <c r="P70" s="342">
        <f t="shared" si="55"/>
        <v>0</v>
      </c>
      <c r="Q70" s="342">
        <f t="shared" si="55"/>
        <v>0</v>
      </c>
      <c r="R70" s="342">
        <f t="shared" si="55"/>
        <v>0</v>
      </c>
      <c r="S70" s="342">
        <f t="shared" si="55"/>
        <v>0</v>
      </c>
      <c r="T70" s="342">
        <f t="shared" si="55"/>
        <v>0</v>
      </c>
      <c r="U70" s="342">
        <f t="shared" si="55"/>
        <v>0</v>
      </c>
      <c r="V70" s="342">
        <f t="shared" si="55"/>
        <v>0</v>
      </c>
      <c r="W70" s="342">
        <f t="shared" si="55"/>
        <v>0</v>
      </c>
      <c r="X70" s="342">
        <f t="shared" si="55"/>
        <v>0</v>
      </c>
      <c r="Y70" s="342">
        <f t="shared" si="55"/>
        <v>0</v>
      </c>
      <c r="Z70" s="342">
        <f t="shared" si="55"/>
        <v>0</v>
      </c>
      <c r="AA70" s="342">
        <f t="shared" si="55"/>
        <v>0</v>
      </c>
      <c r="AB70" s="342">
        <f t="shared" si="55"/>
        <v>0</v>
      </c>
      <c r="AC70" s="342">
        <f t="shared" si="55"/>
        <v>0</v>
      </c>
      <c r="AD70" s="342">
        <f t="shared" si="55"/>
        <v>0</v>
      </c>
      <c r="AE70" s="342">
        <f t="shared" si="55"/>
        <v>0</v>
      </c>
      <c r="AF70" s="342">
        <f t="shared" si="55"/>
        <v>0</v>
      </c>
      <c r="AG70" s="342">
        <f t="shared" si="55"/>
        <v>0</v>
      </c>
      <c r="AH70" s="342">
        <f t="shared" si="55"/>
        <v>0</v>
      </c>
      <c r="AI70" s="342">
        <f t="shared" si="55"/>
        <v>0</v>
      </c>
      <c r="AJ70" s="342">
        <f t="shared" si="55"/>
        <v>0</v>
      </c>
      <c r="AK70" s="342">
        <f t="shared" si="55"/>
        <v>0</v>
      </c>
      <c r="AL70" s="342">
        <f t="shared" si="55"/>
        <v>0</v>
      </c>
    </row>
    <row r="71" spans="2:38" s="460" customFormat="1" ht="15">
      <c r="B71" s="461" t="s">
        <v>462</v>
      </c>
      <c r="C71" s="342">
        <f>+'Resultados mensuales '!C7</f>
        <v>0</v>
      </c>
      <c r="D71" s="342">
        <f>+'Resultados mensuales '!D7</f>
        <v>0</v>
      </c>
      <c r="E71" s="342">
        <f>+'Resultados mensuales '!E7</f>
        <v>0</v>
      </c>
      <c r="F71" s="342">
        <f>+'Resultados mensuales '!F7</f>
        <v>0</v>
      </c>
      <c r="G71" s="342">
        <f>+'Resultados mensuales '!G7</f>
        <v>0</v>
      </c>
      <c r="H71" s="342">
        <f>+'Resultados mensuales '!H7</f>
        <v>0</v>
      </c>
      <c r="I71" s="342">
        <f>+'Resultados mensuales '!I7</f>
        <v>0</v>
      </c>
      <c r="J71" s="342">
        <f>+'Resultados mensuales '!J7</f>
        <v>0</v>
      </c>
      <c r="K71" s="342">
        <f>+'Resultados mensuales '!K7</f>
        <v>0</v>
      </c>
      <c r="L71" s="342">
        <f>+'Resultados mensuales '!L7</f>
        <v>0</v>
      </c>
      <c r="M71" s="342">
        <f>+'Resultados mensuales '!M7</f>
        <v>0</v>
      </c>
      <c r="N71" s="342">
        <f>+'Resultados mensuales '!N7</f>
        <v>0</v>
      </c>
      <c r="O71" s="342">
        <f>+'Resultados mensuales '!O7</f>
        <v>0</v>
      </c>
      <c r="P71" s="342">
        <f>+'Resultados mensuales '!P7</f>
        <v>0</v>
      </c>
      <c r="Q71" s="342">
        <f>+'Resultados mensuales '!Q7</f>
        <v>0</v>
      </c>
      <c r="R71" s="342">
        <f>+'Resultados mensuales '!R7</f>
        <v>0</v>
      </c>
      <c r="S71" s="342">
        <f>+'Resultados mensuales '!S7</f>
        <v>0</v>
      </c>
      <c r="T71" s="342">
        <f>+'Resultados mensuales '!T7</f>
        <v>0</v>
      </c>
      <c r="U71" s="342">
        <f>+'Resultados mensuales '!U7</f>
        <v>0</v>
      </c>
      <c r="V71" s="342">
        <f>+'Resultados mensuales '!V7</f>
        <v>0</v>
      </c>
      <c r="W71" s="342">
        <f>+'Resultados mensuales '!W7</f>
        <v>0</v>
      </c>
      <c r="X71" s="342">
        <f>+'Resultados mensuales '!X7</f>
        <v>0</v>
      </c>
      <c r="Y71" s="342">
        <f>+'Resultados mensuales '!Y7</f>
        <v>0</v>
      </c>
      <c r="Z71" s="342">
        <f>+'Resultados mensuales '!Z7</f>
        <v>0</v>
      </c>
      <c r="AA71" s="342">
        <f>+'Resultados mensuales '!AA7</f>
        <v>0</v>
      </c>
      <c r="AB71" s="342">
        <f>+'Resultados mensuales '!AB7</f>
        <v>0</v>
      </c>
      <c r="AC71" s="342">
        <f>+'Resultados mensuales '!AC7</f>
        <v>0</v>
      </c>
      <c r="AD71" s="342">
        <f>+'Resultados mensuales '!AD7</f>
        <v>0</v>
      </c>
      <c r="AE71" s="342">
        <f>+'Resultados mensuales '!AE7</f>
        <v>0</v>
      </c>
      <c r="AF71" s="342">
        <f>+'Resultados mensuales '!AF7</f>
        <v>0</v>
      </c>
      <c r="AG71" s="342">
        <f>+'Resultados mensuales '!AG7</f>
        <v>0</v>
      </c>
      <c r="AH71" s="342">
        <f>+'Resultados mensuales '!AH7</f>
        <v>0</v>
      </c>
      <c r="AI71" s="342">
        <f>+'Resultados mensuales '!AI7</f>
        <v>0</v>
      </c>
      <c r="AJ71" s="342">
        <f>+'Resultados mensuales '!AJ7</f>
        <v>0</v>
      </c>
      <c r="AK71" s="342">
        <f>+'Resultados mensuales '!AK7</f>
        <v>0</v>
      </c>
      <c r="AL71" s="342">
        <f>+'Resultados mensuales '!AL7</f>
        <v>0</v>
      </c>
    </row>
    <row r="72" spans="2:38" ht="18.75">
      <c r="B72" s="459" t="s">
        <v>463</v>
      </c>
      <c r="C72" s="454">
        <f>+C71*C70</f>
        <v>0</v>
      </c>
      <c r="D72" s="454">
        <f t="shared" ref="D72:AL72" si="56">+D71*D70</f>
        <v>0</v>
      </c>
      <c r="E72" s="454">
        <f t="shared" si="56"/>
        <v>0</v>
      </c>
      <c r="F72" s="454">
        <f>+F71*F70</f>
        <v>0</v>
      </c>
      <c r="G72" s="454">
        <f t="shared" si="56"/>
        <v>0</v>
      </c>
      <c r="H72" s="454">
        <f t="shared" si="56"/>
        <v>0</v>
      </c>
      <c r="I72" s="454">
        <f t="shared" si="56"/>
        <v>0</v>
      </c>
      <c r="J72" s="454">
        <f t="shared" si="56"/>
        <v>0</v>
      </c>
      <c r="K72" s="454">
        <f t="shared" si="56"/>
        <v>0</v>
      </c>
      <c r="L72" s="454">
        <f t="shared" si="56"/>
        <v>0</v>
      </c>
      <c r="M72" s="454">
        <f t="shared" si="56"/>
        <v>0</v>
      </c>
      <c r="N72" s="454">
        <f t="shared" si="56"/>
        <v>0</v>
      </c>
      <c r="O72" s="454">
        <f t="shared" si="56"/>
        <v>0</v>
      </c>
      <c r="P72" s="454">
        <f t="shared" si="56"/>
        <v>0</v>
      </c>
      <c r="Q72" s="454">
        <f t="shared" si="56"/>
        <v>0</v>
      </c>
      <c r="R72" s="454">
        <f t="shared" si="56"/>
        <v>0</v>
      </c>
      <c r="S72" s="454">
        <f t="shared" si="56"/>
        <v>0</v>
      </c>
      <c r="T72" s="454">
        <f t="shared" si="56"/>
        <v>0</v>
      </c>
      <c r="U72" s="454">
        <f t="shared" si="56"/>
        <v>0</v>
      </c>
      <c r="V72" s="454">
        <f t="shared" si="56"/>
        <v>0</v>
      </c>
      <c r="W72" s="454">
        <f t="shared" si="56"/>
        <v>0</v>
      </c>
      <c r="X72" s="454">
        <f t="shared" si="56"/>
        <v>0</v>
      </c>
      <c r="Y72" s="454">
        <f t="shared" si="56"/>
        <v>0</v>
      </c>
      <c r="Z72" s="454">
        <f t="shared" si="56"/>
        <v>0</v>
      </c>
      <c r="AA72" s="454">
        <f t="shared" si="56"/>
        <v>0</v>
      </c>
      <c r="AB72" s="454">
        <f t="shared" si="56"/>
        <v>0</v>
      </c>
      <c r="AC72" s="454">
        <f t="shared" si="56"/>
        <v>0</v>
      </c>
      <c r="AD72" s="454">
        <f t="shared" si="56"/>
        <v>0</v>
      </c>
      <c r="AE72" s="454">
        <f t="shared" si="56"/>
        <v>0</v>
      </c>
      <c r="AF72" s="454">
        <f t="shared" si="56"/>
        <v>0</v>
      </c>
      <c r="AG72" s="454">
        <f t="shared" si="56"/>
        <v>0</v>
      </c>
      <c r="AH72" s="454">
        <f t="shared" si="56"/>
        <v>0</v>
      </c>
      <c r="AI72" s="454">
        <f t="shared" si="56"/>
        <v>0</v>
      </c>
      <c r="AJ72" s="454">
        <f t="shared" si="56"/>
        <v>0</v>
      </c>
      <c r="AK72" s="454">
        <f t="shared" si="56"/>
        <v>0</v>
      </c>
      <c r="AL72" s="454">
        <f t="shared" si="56"/>
        <v>0</v>
      </c>
    </row>
    <row r="73" spans="2:38" ht="18.75">
      <c r="B73" s="287"/>
    </row>
    <row r="74" spans="2:38" ht="18.75">
      <c r="B74" s="287"/>
    </row>
  </sheetData>
  <mergeCells count="5">
    <mergeCell ref="A27:A63"/>
    <mergeCell ref="C3:N3"/>
    <mergeCell ref="O3:Z3"/>
    <mergeCell ref="AA3:AL3"/>
    <mergeCell ref="A5:A25"/>
  </mergeCells>
  <conditionalFormatting sqref="G1">
    <cfRule type="cellIs" dxfId="506" priority="9" operator="greaterThan">
      <formula>0</formula>
    </cfRule>
    <cfRule type="cellIs" dxfId="505" priority="10" operator="lessThan">
      <formula>0</formula>
    </cfRule>
  </conditionalFormatting>
  <conditionalFormatting sqref="I1">
    <cfRule type="cellIs" dxfId="504" priority="7" operator="greaterThan">
      <formula>0</formula>
    </cfRule>
    <cfRule type="cellIs" dxfId="503" priority="8" operator="lessThan">
      <formula>0</formula>
    </cfRule>
  </conditionalFormatting>
  <conditionalFormatting sqref="E1">
    <cfRule type="cellIs" dxfId="502" priority="5" operator="greaterThan">
      <formula>0</formula>
    </cfRule>
    <cfRule type="cellIs" dxfId="501" priority="6" operator="lessThan">
      <formula>0</formula>
    </cfRule>
  </conditionalFormatting>
  <conditionalFormatting sqref="M1">
    <cfRule type="cellIs" dxfId="500" priority="3" operator="greaterThan">
      <formula>0</formula>
    </cfRule>
    <cfRule type="cellIs" dxfId="499" priority="4" operator="lessThan">
      <formula>0</formula>
    </cfRule>
  </conditionalFormatting>
  <conditionalFormatting sqref="K1">
    <cfRule type="cellIs" dxfId="498" priority="1" operator="greaterThan">
      <formula>0</formula>
    </cfRule>
    <cfRule type="cellIs" dxfId="497" priority="2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5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5">
    <tabColor theme="4" tint="0.59999389629810485"/>
  </sheetPr>
  <dimension ref="B1:AM46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I22" sqref="AI22"/>
    </sheetView>
  </sheetViews>
  <sheetFormatPr baseColWidth="10" defaultColWidth="11.42578125" defaultRowHeight="18.75" outlineLevelRow="1"/>
  <cols>
    <col min="1" max="1" width="3.5703125" style="287" customWidth="1"/>
    <col min="2" max="2" width="39.28515625" style="287" customWidth="1"/>
    <col min="3" max="3" width="7.85546875" style="343" customWidth="1"/>
    <col min="4" max="11" width="8.85546875" style="287" customWidth="1"/>
    <col min="12" max="12" width="10.7109375" style="287" customWidth="1"/>
    <col min="13" max="39" width="8.85546875" style="287" customWidth="1"/>
    <col min="40" max="16384" width="11.42578125" style="287"/>
  </cols>
  <sheetData>
    <row r="1" spans="2:39" ht="39.75" customHeight="1" thickBot="1">
      <c r="D1" s="273" t="s">
        <v>121</v>
      </c>
      <c r="E1" s="274" t="s">
        <v>242</v>
      </c>
      <c r="F1" s="275">
        <f>+Ventas!F1</f>
        <v>0</v>
      </c>
      <c r="G1" s="276" t="s">
        <v>243</v>
      </c>
      <c r="H1" s="275">
        <f ca="1">+Resultados!$C$25</f>
        <v>0</v>
      </c>
      <c r="I1" s="274" t="s">
        <v>244</v>
      </c>
      <c r="J1" s="278" t="str">
        <f>+'Resultado x Actividad'!$S$15</f>
        <v/>
      </c>
      <c r="K1" s="276" t="s">
        <v>245</v>
      </c>
      <c r="L1" s="317">
        <f ca="1">IF(ISERROR(+Resultados!$C$27),0,(+Resultados!$C$27))</f>
        <v>0</v>
      </c>
      <c r="M1" s="276" t="s">
        <v>246</v>
      </c>
      <c r="N1" s="275">
        <f ca="1">MIN('Tesorería mensual'!$C$47:$N$47)</f>
        <v>0</v>
      </c>
      <c r="P1" s="287" t="s">
        <v>46</v>
      </c>
      <c r="Q1" s="287" t="s">
        <v>46</v>
      </c>
    </row>
    <row r="2" spans="2:39">
      <c r="C2" s="530"/>
    </row>
    <row r="3" spans="2:39" ht="68.25">
      <c r="B3" s="283" t="s">
        <v>120</v>
      </c>
      <c r="C3" s="345"/>
      <c r="D3" s="806">
        <f>+Cuestionario!$C$11</f>
        <v>44197</v>
      </c>
      <c r="E3" s="806">
        <f>EDATE(D3,1)</f>
        <v>44228</v>
      </c>
      <c r="F3" s="806">
        <f t="shared" ref="F3" si="0">EDATE(E3,1)</f>
        <v>44256</v>
      </c>
      <c r="G3" s="806">
        <f t="shared" ref="G3" si="1">EDATE(F3,1)</f>
        <v>44287</v>
      </c>
      <c r="H3" s="806">
        <f t="shared" ref="H3" si="2">EDATE(G3,1)</f>
        <v>44317</v>
      </c>
      <c r="I3" s="806">
        <f t="shared" ref="I3" si="3">EDATE(H3,1)</f>
        <v>44348</v>
      </c>
      <c r="J3" s="806">
        <f t="shared" ref="J3" si="4">EDATE(I3,1)</f>
        <v>44378</v>
      </c>
      <c r="K3" s="806">
        <f t="shared" ref="K3" si="5">EDATE(J3,1)</f>
        <v>44409</v>
      </c>
      <c r="L3" s="806">
        <f t="shared" ref="L3" si="6">EDATE(K3,1)</f>
        <v>44440</v>
      </c>
      <c r="M3" s="806">
        <f t="shared" ref="M3" si="7">EDATE(L3,1)</f>
        <v>44470</v>
      </c>
      <c r="N3" s="806">
        <f t="shared" ref="N3" si="8">EDATE(M3,1)</f>
        <v>44501</v>
      </c>
      <c r="O3" s="806">
        <f t="shared" ref="O3" si="9">EDATE(N3,1)</f>
        <v>44531</v>
      </c>
      <c r="P3" s="807">
        <f t="shared" ref="P3" si="10">EDATE(O3,1)</f>
        <v>44562</v>
      </c>
      <c r="Q3" s="807">
        <f t="shared" ref="Q3" si="11">EDATE(P3,1)</f>
        <v>44593</v>
      </c>
      <c r="R3" s="807">
        <f t="shared" ref="R3" si="12">EDATE(Q3,1)</f>
        <v>44621</v>
      </c>
      <c r="S3" s="807">
        <f t="shared" ref="S3" si="13">EDATE(R3,1)</f>
        <v>44652</v>
      </c>
      <c r="T3" s="807">
        <f t="shared" ref="T3" si="14">EDATE(S3,1)</f>
        <v>44682</v>
      </c>
      <c r="U3" s="807">
        <f t="shared" ref="U3" si="15">EDATE(T3,1)</f>
        <v>44713</v>
      </c>
      <c r="V3" s="807">
        <f t="shared" ref="V3" si="16">EDATE(U3,1)</f>
        <v>44743</v>
      </c>
      <c r="W3" s="807">
        <f t="shared" ref="W3" si="17">EDATE(V3,1)</f>
        <v>44774</v>
      </c>
      <c r="X3" s="807">
        <f t="shared" ref="X3" si="18">EDATE(W3,1)</f>
        <v>44805</v>
      </c>
      <c r="Y3" s="807">
        <f t="shared" ref="Y3" si="19">EDATE(X3,1)</f>
        <v>44835</v>
      </c>
      <c r="Z3" s="807">
        <f t="shared" ref="Z3" si="20">EDATE(Y3,1)</f>
        <v>44866</v>
      </c>
      <c r="AA3" s="806">
        <f t="shared" ref="AA3" si="21">EDATE(Z3,1)</f>
        <v>44896</v>
      </c>
      <c r="AB3" s="806">
        <f t="shared" ref="AB3" si="22">EDATE(AA3,1)</f>
        <v>44927</v>
      </c>
      <c r="AC3" s="806">
        <f t="shared" ref="AC3" si="23">EDATE(AB3,1)</f>
        <v>44958</v>
      </c>
      <c r="AD3" s="806">
        <f t="shared" ref="AD3" si="24">EDATE(AC3,1)</f>
        <v>44986</v>
      </c>
      <c r="AE3" s="806">
        <f t="shared" ref="AE3" si="25">EDATE(AD3,1)</f>
        <v>45017</v>
      </c>
      <c r="AF3" s="806">
        <f t="shared" ref="AF3" si="26">EDATE(AE3,1)</f>
        <v>45047</v>
      </c>
      <c r="AG3" s="806">
        <f t="shared" ref="AG3" si="27">EDATE(AF3,1)</f>
        <v>45078</v>
      </c>
      <c r="AH3" s="806">
        <f t="shared" ref="AH3" si="28">EDATE(AG3,1)</f>
        <v>45108</v>
      </c>
      <c r="AI3" s="806">
        <f t="shared" ref="AI3" si="29">EDATE(AH3,1)</f>
        <v>45139</v>
      </c>
      <c r="AJ3" s="806">
        <f t="shared" ref="AJ3" si="30">EDATE(AI3,1)</f>
        <v>45170</v>
      </c>
      <c r="AK3" s="806">
        <f t="shared" ref="AK3" si="31">EDATE(AJ3,1)</f>
        <v>45200</v>
      </c>
      <c r="AL3" s="806">
        <f t="shared" ref="AL3" si="32">EDATE(AK3,1)</f>
        <v>45231</v>
      </c>
      <c r="AM3" s="806">
        <f t="shared" ref="AM3" si="33">EDATE(AL3,1)</f>
        <v>45261</v>
      </c>
    </row>
    <row r="4" spans="2:39" s="34" customFormat="1">
      <c r="C4" s="344"/>
      <c r="D4" s="350">
        <f>+'INGRESOS-GASTOS'!G17</f>
        <v>0</v>
      </c>
      <c r="E4" s="350">
        <f>+'INGRESOS-GASTOS'!H17</f>
        <v>0</v>
      </c>
      <c r="F4" s="350">
        <f>+'INGRESOS-GASTOS'!I17</f>
        <v>0</v>
      </c>
      <c r="G4" s="350">
        <f>+'INGRESOS-GASTOS'!J17</f>
        <v>0</v>
      </c>
      <c r="H4" s="350">
        <f>+'INGRESOS-GASTOS'!K17</f>
        <v>0</v>
      </c>
      <c r="I4" s="350">
        <f>+'INGRESOS-GASTOS'!L17</f>
        <v>0</v>
      </c>
      <c r="J4" s="350">
        <f>+'INGRESOS-GASTOS'!M17</f>
        <v>0</v>
      </c>
      <c r="K4" s="350">
        <f>+'INGRESOS-GASTOS'!N17</f>
        <v>0</v>
      </c>
      <c r="L4" s="350">
        <f>+'INGRESOS-GASTOS'!O17</f>
        <v>0</v>
      </c>
      <c r="M4" s="350">
        <f>+'INGRESOS-GASTOS'!P17</f>
        <v>0</v>
      </c>
      <c r="N4" s="350">
        <f>+'INGRESOS-GASTOS'!Q17</f>
        <v>0</v>
      </c>
      <c r="O4" s="350">
        <f>+'INGRESOS-GASTOS'!R17</f>
        <v>0</v>
      </c>
      <c r="P4" s="351">
        <f>+'INGRESOS-GASTOS'!S17</f>
        <v>0</v>
      </c>
      <c r="Q4" s="351">
        <f>+'INGRESOS-GASTOS'!T17</f>
        <v>0</v>
      </c>
      <c r="R4" s="351">
        <f>+'INGRESOS-GASTOS'!U17</f>
        <v>0</v>
      </c>
      <c r="S4" s="351">
        <f>+'INGRESOS-GASTOS'!V17</f>
        <v>0</v>
      </c>
      <c r="T4" s="351">
        <f>+'INGRESOS-GASTOS'!W17</f>
        <v>0</v>
      </c>
      <c r="U4" s="351">
        <f>+'INGRESOS-GASTOS'!X17</f>
        <v>0</v>
      </c>
      <c r="V4" s="351">
        <f>+'INGRESOS-GASTOS'!Y17</f>
        <v>0</v>
      </c>
      <c r="W4" s="351">
        <f>+'INGRESOS-GASTOS'!Z17</f>
        <v>0</v>
      </c>
      <c r="X4" s="351">
        <f>+'INGRESOS-GASTOS'!AA17</f>
        <v>0</v>
      </c>
      <c r="Y4" s="351">
        <f>+'INGRESOS-GASTOS'!AB17</f>
        <v>0</v>
      </c>
      <c r="Z4" s="351">
        <f>+'INGRESOS-GASTOS'!AC17</f>
        <v>0</v>
      </c>
      <c r="AA4" s="351">
        <f>+'INGRESOS-GASTOS'!AD17</f>
        <v>0</v>
      </c>
      <c r="AB4" s="350">
        <f>+'INGRESOS-GASTOS'!AE17</f>
        <v>0</v>
      </c>
      <c r="AC4" s="350">
        <f>+'INGRESOS-GASTOS'!AF17</f>
        <v>0</v>
      </c>
      <c r="AD4" s="350">
        <f>+'INGRESOS-GASTOS'!AG17</f>
        <v>0</v>
      </c>
      <c r="AE4" s="350">
        <f>+'INGRESOS-GASTOS'!AH17</f>
        <v>0</v>
      </c>
      <c r="AF4" s="350">
        <f>+'INGRESOS-GASTOS'!AI17</f>
        <v>0</v>
      </c>
      <c r="AG4" s="350">
        <f>+'INGRESOS-GASTOS'!AJ17</f>
        <v>0</v>
      </c>
      <c r="AH4" s="350">
        <f>+'INGRESOS-GASTOS'!AK17</f>
        <v>0</v>
      </c>
      <c r="AI4" s="350">
        <f>+'INGRESOS-GASTOS'!AL17</f>
        <v>0</v>
      </c>
      <c r="AJ4" s="350">
        <f>+'INGRESOS-GASTOS'!AM17</f>
        <v>0</v>
      </c>
      <c r="AK4" s="350">
        <f>+'INGRESOS-GASTOS'!AN17</f>
        <v>0</v>
      </c>
      <c r="AL4" s="350">
        <f>+'INGRESOS-GASTOS'!AO17</f>
        <v>0</v>
      </c>
      <c r="AM4" s="350">
        <f>+'INGRESOS-GASTOS'!AP17</f>
        <v>0</v>
      </c>
    </row>
    <row r="5" spans="2:39">
      <c r="B5" s="283" t="str">
        <f>+Catálogo!F5</f>
        <v>Coste de compra sin IVA</v>
      </c>
      <c r="C5" s="345"/>
      <c r="D5" s="290">
        <f>+Cuestionario!$C$11</f>
        <v>44197</v>
      </c>
      <c r="E5" s="290">
        <f>EDATE(D5,1)</f>
        <v>44228</v>
      </c>
      <c r="F5" s="290">
        <f t="shared" ref="F5" si="34">EDATE(E5,1)</f>
        <v>44256</v>
      </c>
      <c r="G5" s="290">
        <f t="shared" ref="G5" si="35">EDATE(F5,1)</f>
        <v>44287</v>
      </c>
      <c r="H5" s="290">
        <f t="shared" ref="H5" si="36">EDATE(G5,1)</f>
        <v>44317</v>
      </c>
      <c r="I5" s="290">
        <f t="shared" ref="I5" si="37">EDATE(H5,1)</f>
        <v>44348</v>
      </c>
      <c r="J5" s="290">
        <f t="shared" ref="J5" si="38">EDATE(I5,1)</f>
        <v>44378</v>
      </c>
      <c r="K5" s="290">
        <f t="shared" ref="K5" si="39">EDATE(J5,1)</f>
        <v>44409</v>
      </c>
      <c r="L5" s="290">
        <f t="shared" ref="L5" si="40">EDATE(K5,1)</f>
        <v>44440</v>
      </c>
      <c r="M5" s="290">
        <f t="shared" ref="M5" si="41">EDATE(L5,1)</f>
        <v>44470</v>
      </c>
      <c r="N5" s="290">
        <f t="shared" ref="N5" si="42">EDATE(M5,1)</f>
        <v>44501</v>
      </c>
      <c r="O5" s="346">
        <f t="shared" ref="O5" si="43">EDATE(N5,1)</f>
        <v>44531</v>
      </c>
      <c r="P5" s="291">
        <f>+Cuestionario!$C$11</f>
        <v>44197</v>
      </c>
      <c r="Q5" s="292">
        <f>EDATE(P5,1)</f>
        <v>44228</v>
      </c>
      <c r="R5" s="292">
        <f t="shared" ref="R5" si="44">EDATE(Q5,1)</f>
        <v>44256</v>
      </c>
      <c r="S5" s="292">
        <f t="shared" ref="S5" si="45">EDATE(R5,1)</f>
        <v>44287</v>
      </c>
      <c r="T5" s="292">
        <f t="shared" ref="T5" si="46">EDATE(S5,1)</f>
        <v>44317</v>
      </c>
      <c r="U5" s="292">
        <f t="shared" ref="U5" si="47">EDATE(T5,1)</f>
        <v>44348</v>
      </c>
      <c r="V5" s="292">
        <f t="shared" ref="V5" si="48">EDATE(U5,1)</f>
        <v>44378</v>
      </c>
      <c r="W5" s="292">
        <f t="shared" ref="W5" si="49">EDATE(V5,1)</f>
        <v>44409</v>
      </c>
      <c r="X5" s="292">
        <f t="shared" ref="X5" si="50">EDATE(W5,1)</f>
        <v>44440</v>
      </c>
      <c r="Y5" s="292">
        <f t="shared" ref="Y5" si="51">EDATE(X5,1)</f>
        <v>44470</v>
      </c>
      <c r="Z5" s="292">
        <f t="shared" ref="Z5" si="52">EDATE(Y5,1)</f>
        <v>44501</v>
      </c>
      <c r="AA5" s="293">
        <f t="shared" ref="AA5" si="53">EDATE(Z5,1)</f>
        <v>44531</v>
      </c>
      <c r="AB5" s="347">
        <f>+Cuestionario!$C$11</f>
        <v>44197</v>
      </c>
      <c r="AC5" s="290">
        <f>EDATE(AB5,1)</f>
        <v>44228</v>
      </c>
      <c r="AD5" s="290">
        <f t="shared" ref="AD5" si="54">EDATE(AC5,1)</f>
        <v>44256</v>
      </c>
      <c r="AE5" s="290">
        <f t="shared" ref="AE5" si="55">EDATE(AD5,1)</f>
        <v>44287</v>
      </c>
      <c r="AF5" s="290">
        <f t="shared" ref="AF5" si="56">EDATE(AE5,1)</f>
        <v>44317</v>
      </c>
      <c r="AG5" s="290">
        <f t="shared" ref="AG5" si="57">EDATE(AF5,1)</f>
        <v>44348</v>
      </c>
      <c r="AH5" s="290">
        <f t="shared" ref="AH5" si="58">EDATE(AG5,1)</f>
        <v>44378</v>
      </c>
      <c r="AI5" s="290">
        <f t="shared" ref="AI5" si="59">EDATE(AH5,1)</f>
        <v>44409</v>
      </c>
      <c r="AJ5" s="290">
        <f t="shared" ref="AJ5" si="60">EDATE(AI5,1)</f>
        <v>44440</v>
      </c>
      <c r="AK5" s="290">
        <f t="shared" ref="AK5" si="61">EDATE(AJ5,1)</f>
        <v>44470</v>
      </c>
      <c r="AL5" s="290">
        <f t="shared" ref="AL5" si="62">EDATE(AK5,1)</f>
        <v>44501</v>
      </c>
      <c r="AM5" s="290">
        <f t="shared" ref="AM5" si="63">EDATE(AL5,1)</f>
        <v>44531</v>
      </c>
    </row>
    <row r="6" spans="2:39">
      <c r="B6" s="348"/>
      <c r="C6" s="349"/>
      <c r="D6" s="350">
        <f>+'INGRESOS-GASTOS'!G82</f>
        <v>0</v>
      </c>
      <c r="E6" s="350">
        <f>+'INGRESOS-GASTOS'!H82</f>
        <v>0</v>
      </c>
      <c r="F6" s="350">
        <f>+'INGRESOS-GASTOS'!I82</f>
        <v>0</v>
      </c>
      <c r="G6" s="350">
        <f>+'INGRESOS-GASTOS'!J82</f>
        <v>0</v>
      </c>
      <c r="H6" s="350">
        <f>+'INGRESOS-GASTOS'!K82</f>
        <v>0</v>
      </c>
      <c r="I6" s="350">
        <f>+'INGRESOS-GASTOS'!L82</f>
        <v>0</v>
      </c>
      <c r="J6" s="350">
        <f>+'INGRESOS-GASTOS'!M82</f>
        <v>0</v>
      </c>
      <c r="K6" s="350">
        <f>+'INGRESOS-GASTOS'!N82</f>
        <v>0</v>
      </c>
      <c r="L6" s="350">
        <f>+'INGRESOS-GASTOS'!O82</f>
        <v>0</v>
      </c>
      <c r="M6" s="350">
        <f>+'INGRESOS-GASTOS'!P82</f>
        <v>0</v>
      </c>
      <c r="N6" s="350">
        <f>+'INGRESOS-GASTOS'!Q82</f>
        <v>0</v>
      </c>
      <c r="O6" s="350">
        <f>+'INGRESOS-GASTOS'!R82</f>
        <v>0</v>
      </c>
      <c r="P6" s="351">
        <f>+'INGRESOS-GASTOS'!S82</f>
        <v>0</v>
      </c>
      <c r="Q6" s="351">
        <f>+'INGRESOS-GASTOS'!T82</f>
        <v>0</v>
      </c>
      <c r="R6" s="351">
        <f>+'INGRESOS-GASTOS'!U82</f>
        <v>0</v>
      </c>
      <c r="S6" s="351">
        <f>+'INGRESOS-GASTOS'!V82</f>
        <v>0</v>
      </c>
      <c r="T6" s="351">
        <f>+'INGRESOS-GASTOS'!W82</f>
        <v>0</v>
      </c>
      <c r="U6" s="351">
        <f>+'INGRESOS-GASTOS'!X82</f>
        <v>0</v>
      </c>
      <c r="V6" s="351">
        <f>+'INGRESOS-GASTOS'!Y82</f>
        <v>0</v>
      </c>
      <c r="W6" s="351">
        <f>+'INGRESOS-GASTOS'!Z82</f>
        <v>0</v>
      </c>
      <c r="X6" s="351">
        <f>+'INGRESOS-GASTOS'!AA82</f>
        <v>0</v>
      </c>
      <c r="Y6" s="351">
        <f>+'INGRESOS-GASTOS'!AB82</f>
        <v>0</v>
      </c>
      <c r="Z6" s="351">
        <f>+'INGRESOS-GASTOS'!AC82</f>
        <v>0</v>
      </c>
      <c r="AA6" s="351">
        <f>+'INGRESOS-GASTOS'!AD82</f>
        <v>0</v>
      </c>
      <c r="AB6" s="350">
        <f>+'INGRESOS-GASTOS'!AE82</f>
        <v>0</v>
      </c>
      <c r="AC6" s="350">
        <f>+'INGRESOS-GASTOS'!AF82</f>
        <v>0</v>
      </c>
      <c r="AD6" s="350">
        <f>+'INGRESOS-GASTOS'!AG82</f>
        <v>0</v>
      </c>
      <c r="AE6" s="350">
        <f>+'INGRESOS-GASTOS'!AH82</f>
        <v>0</v>
      </c>
      <c r="AF6" s="350">
        <f>+'INGRESOS-GASTOS'!AI82</f>
        <v>0</v>
      </c>
      <c r="AG6" s="350">
        <f>+'INGRESOS-GASTOS'!AJ82</f>
        <v>0</v>
      </c>
      <c r="AH6" s="350">
        <f>+'INGRESOS-GASTOS'!AK82</f>
        <v>0</v>
      </c>
      <c r="AI6" s="350">
        <f>+'INGRESOS-GASTOS'!AL82</f>
        <v>0</v>
      </c>
      <c r="AJ6" s="350">
        <f>+'INGRESOS-GASTOS'!AM82</f>
        <v>0</v>
      </c>
      <c r="AK6" s="350">
        <f>+'INGRESOS-GASTOS'!AN82</f>
        <v>0</v>
      </c>
      <c r="AL6" s="350">
        <f>+'INGRESOS-GASTOS'!AO82</f>
        <v>0</v>
      </c>
      <c r="AM6" s="350">
        <f>+'INGRESOS-GASTOS'!AP82</f>
        <v>0</v>
      </c>
    </row>
    <row r="7" spans="2:39">
      <c r="B7" s="283" t="s">
        <v>132</v>
      </c>
      <c r="C7" s="345"/>
      <c r="D7" s="290">
        <f>+Cuestionario!$C$11</f>
        <v>44197</v>
      </c>
      <c r="E7" s="290">
        <f>EDATE(D7,1)</f>
        <v>44228</v>
      </c>
      <c r="F7" s="290">
        <f t="shared" ref="F7:O7" si="64">EDATE(E7,1)</f>
        <v>44256</v>
      </c>
      <c r="G7" s="290">
        <f t="shared" si="64"/>
        <v>44287</v>
      </c>
      <c r="H7" s="290">
        <f t="shared" si="64"/>
        <v>44317</v>
      </c>
      <c r="I7" s="290">
        <f t="shared" si="64"/>
        <v>44348</v>
      </c>
      <c r="J7" s="290">
        <f t="shared" si="64"/>
        <v>44378</v>
      </c>
      <c r="K7" s="290">
        <f t="shared" si="64"/>
        <v>44409</v>
      </c>
      <c r="L7" s="290">
        <f t="shared" si="64"/>
        <v>44440</v>
      </c>
      <c r="M7" s="290">
        <f t="shared" si="64"/>
        <v>44470</v>
      </c>
      <c r="N7" s="290">
        <f t="shared" si="64"/>
        <v>44501</v>
      </c>
      <c r="O7" s="290">
        <f t="shared" si="64"/>
        <v>44531</v>
      </c>
      <c r="P7" s="352">
        <f>+Cuestionario!$C$11</f>
        <v>44197</v>
      </c>
      <c r="Q7" s="352">
        <f>EDATE(P7,1)</f>
        <v>44228</v>
      </c>
      <c r="R7" s="352">
        <f t="shared" ref="R7" si="65">EDATE(Q7,1)</f>
        <v>44256</v>
      </c>
      <c r="S7" s="352">
        <f t="shared" ref="S7" si="66">EDATE(R7,1)</f>
        <v>44287</v>
      </c>
      <c r="T7" s="352">
        <f t="shared" ref="T7" si="67">EDATE(S7,1)</f>
        <v>44317</v>
      </c>
      <c r="U7" s="352">
        <f t="shared" ref="U7" si="68">EDATE(T7,1)</f>
        <v>44348</v>
      </c>
      <c r="V7" s="352">
        <f t="shared" ref="V7" si="69">EDATE(U7,1)</f>
        <v>44378</v>
      </c>
      <c r="W7" s="352">
        <f t="shared" ref="W7" si="70">EDATE(V7,1)</f>
        <v>44409</v>
      </c>
      <c r="X7" s="352">
        <f t="shared" ref="X7" si="71">EDATE(W7,1)</f>
        <v>44440</v>
      </c>
      <c r="Y7" s="352">
        <f t="shared" ref="Y7" si="72">EDATE(X7,1)</f>
        <v>44470</v>
      </c>
      <c r="Z7" s="352">
        <f t="shared" ref="Z7" si="73">EDATE(Y7,1)</f>
        <v>44501</v>
      </c>
      <c r="AA7" s="352">
        <f t="shared" ref="AA7" si="74">EDATE(Z7,1)</f>
        <v>44531</v>
      </c>
      <c r="AB7" s="290">
        <f>+Cuestionario!$C$11</f>
        <v>44197</v>
      </c>
      <c r="AC7" s="290">
        <f>EDATE(AB7,1)</f>
        <v>44228</v>
      </c>
      <c r="AD7" s="290">
        <f t="shared" ref="AD7" si="75">EDATE(AC7,1)</f>
        <v>44256</v>
      </c>
      <c r="AE7" s="290">
        <f t="shared" ref="AE7" si="76">EDATE(AD7,1)</f>
        <v>44287</v>
      </c>
      <c r="AF7" s="290">
        <f t="shared" ref="AF7" si="77">EDATE(AE7,1)</f>
        <v>44317</v>
      </c>
      <c r="AG7" s="290">
        <f t="shared" ref="AG7" si="78">EDATE(AF7,1)</f>
        <v>44348</v>
      </c>
      <c r="AH7" s="290">
        <f t="shared" ref="AH7" si="79">EDATE(AG7,1)</f>
        <v>44378</v>
      </c>
      <c r="AI7" s="290">
        <f t="shared" ref="AI7" si="80">EDATE(AH7,1)</f>
        <v>44409</v>
      </c>
      <c r="AJ7" s="290">
        <f t="shared" ref="AJ7" si="81">EDATE(AI7,1)</f>
        <v>44440</v>
      </c>
      <c r="AK7" s="290">
        <f t="shared" ref="AK7" si="82">EDATE(AJ7,1)</f>
        <v>44470</v>
      </c>
      <c r="AL7" s="290">
        <f t="shared" ref="AL7" si="83">EDATE(AK7,1)</f>
        <v>44501</v>
      </c>
      <c r="AM7" s="290">
        <f t="shared" ref="AM7" si="84">EDATE(AL7,1)</f>
        <v>44531</v>
      </c>
    </row>
    <row r="8" spans="2:39">
      <c r="B8" s="348"/>
      <c r="C8" s="349"/>
      <c r="D8" s="350">
        <f>+'INGRESOS-GASTOS'!G147</f>
        <v>0</v>
      </c>
      <c r="E8" s="350">
        <f>+'INGRESOS-GASTOS'!H147</f>
        <v>0</v>
      </c>
      <c r="F8" s="350">
        <f>+'INGRESOS-GASTOS'!I147</f>
        <v>0</v>
      </c>
      <c r="G8" s="350">
        <f>+'INGRESOS-GASTOS'!J147</f>
        <v>0</v>
      </c>
      <c r="H8" s="350">
        <f>+'INGRESOS-GASTOS'!K147</f>
        <v>0</v>
      </c>
      <c r="I8" s="350">
        <f>+'INGRESOS-GASTOS'!L147</f>
        <v>0</v>
      </c>
      <c r="J8" s="350">
        <f>+'INGRESOS-GASTOS'!M147</f>
        <v>0</v>
      </c>
      <c r="K8" s="350">
        <f>+'INGRESOS-GASTOS'!N147</f>
        <v>0</v>
      </c>
      <c r="L8" s="350">
        <f>+'INGRESOS-GASTOS'!O147</f>
        <v>0</v>
      </c>
      <c r="M8" s="350">
        <f>+'INGRESOS-GASTOS'!P147</f>
        <v>0</v>
      </c>
      <c r="N8" s="350">
        <f>+'INGRESOS-GASTOS'!Q147</f>
        <v>0</v>
      </c>
      <c r="O8" s="350">
        <f>+'INGRESOS-GASTOS'!R147</f>
        <v>0</v>
      </c>
      <c r="P8" s="350">
        <f>+'INGRESOS-GASTOS'!S147</f>
        <v>0</v>
      </c>
      <c r="Q8" s="350">
        <f>+'INGRESOS-GASTOS'!T147</f>
        <v>0</v>
      </c>
      <c r="R8" s="350">
        <f>+'INGRESOS-GASTOS'!U147</f>
        <v>0</v>
      </c>
      <c r="S8" s="350">
        <f>+'INGRESOS-GASTOS'!V147</f>
        <v>0</v>
      </c>
      <c r="T8" s="350">
        <f>+'INGRESOS-GASTOS'!W147</f>
        <v>0</v>
      </c>
      <c r="U8" s="350">
        <f>+'INGRESOS-GASTOS'!X147</f>
        <v>0</v>
      </c>
      <c r="V8" s="350">
        <f>+'INGRESOS-GASTOS'!Y147</f>
        <v>0</v>
      </c>
      <c r="W8" s="350">
        <f>+'INGRESOS-GASTOS'!Z147</f>
        <v>0</v>
      </c>
      <c r="X8" s="350">
        <f>+'INGRESOS-GASTOS'!AA147</f>
        <v>0</v>
      </c>
      <c r="Y8" s="350">
        <f>+'INGRESOS-GASTOS'!AB147</f>
        <v>0</v>
      </c>
      <c r="Z8" s="350">
        <f>+'INGRESOS-GASTOS'!AC147</f>
        <v>0</v>
      </c>
      <c r="AA8" s="350">
        <f>+'INGRESOS-GASTOS'!AD147</f>
        <v>0</v>
      </c>
      <c r="AB8" s="350">
        <f>+'INGRESOS-GASTOS'!AE147</f>
        <v>0</v>
      </c>
      <c r="AC8" s="350">
        <f>+'INGRESOS-GASTOS'!AF147</f>
        <v>0</v>
      </c>
      <c r="AD8" s="350">
        <f>+'INGRESOS-GASTOS'!AG147</f>
        <v>0</v>
      </c>
      <c r="AE8" s="350">
        <f>+'INGRESOS-GASTOS'!AH147</f>
        <v>0</v>
      </c>
      <c r="AF8" s="350">
        <f>+'INGRESOS-GASTOS'!AI147</f>
        <v>0</v>
      </c>
      <c r="AG8" s="350">
        <f>+'INGRESOS-GASTOS'!AJ147</f>
        <v>0</v>
      </c>
      <c r="AH8" s="350">
        <f>+'INGRESOS-GASTOS'!AK147</f>
        <v>0</v>
      </c>
      <c r="AI8" s="350">
        <f>+'INGRESOS-GASTOS'!AL147</f>
        <v>0</v>
      </c>
      <c r="AJ8" s="350">
        <f>+'INGRESOS-GASTOS'!AM147</f>
        <v>0</v>
      </c>
      <c r="AK8" s="350">
        <f>+'INGRESOS-GASTOS'!AN147</f>
        <v>0</v>
      </c>
      <c r="AL8" s="350">
        <f>+'INGRESOS-GASTOS'!AO147</f>
        <v>0</v>
      </c>
      <c r="AM8" s="350">
        <f>+'INGRESOS-GASTOS'!AP147</f>
        <v>0</v>
      </c>
    </row>
    <row r="10" spans="2:39">
      <c r="B10" s="283" t="s">
        <v>77</v>
      </c>
      <c r="C10" s="345" t="s">
        <v>70</v>
      </c>
      <c r="D10" s="290">
        <f>+Cuestionario!$C$11</f>
        <v>44197</v>
      </c>
      <c r="E10" s="290">
        <f>EDATE(D10,1)</f>
        <v>44228</v>
      </c>
      <c r="F10" s="290">
        <f t="shared" ref="F10:O10" si="85">EDATE(E10,1)</f>
        <v>44256</v>
      </c>
      <c r="G10" s="290">
        <f t="shared" si="85"/>
        <v>44287</v>
      </c>
      <c r="H10" s="290">
        <f t="shared" si="85"/>
        <v>44317</v>
      </c>
      <c r="I10" s="290">
        <f t="shared" si="85"/>
        <v>44348</v>
      </c>
      <c r="J10" s="290">
        <f t="shared" si="85"/>
        <v>44378</v>
      </c>
      <c r="K10" s="290">
        <f t="shared" si="85"/>
        <v>44409</v>
      </c>
      <c r="L10" s="290">
        <f t="shared" si="85"/>
        <v>44440</v>
      </c>
      <c r="M10" s="290">
        <f t="shared" si="85"/>
        <v>44470</v>
      </c>
      <c r="N10" s="290">
        <f t="shared" si="85"/>
        <v>44501</v>
      </c>
      <c r="O10" s="290">
        <f t="shared" si="85"/>
        <v>44531</v>
      </c>
      <c r="P10" s="352">
        <f>+Cuestionario!$C$11</f>
        <v>44197</v>
      </c>
      <c r="Q10" s="352">
        <f>EDATE(P10,1)</f>
        <v>44228</v>
      </c>
      <c r="R10" s="352">
        <f t="shared" ref="R10" si="86">EDATE(Q10,1)</f>
        <v>44256</v>
      </c>
      <c r="S10" s="352">
        <f t="shared" ref="S10" si="87">EDATE(R10,1)</f>
        <v>44287</v>
      </c>
      <c r="T10" s="352">
        <f t="shared" ref="T10" si="88">EDATE(S10,1)</f>
        <v>44317</v>
      </c>
      <c r="U10" s="352">
        <f t="shared" ref="U10" si="89">EDATE(T10,1)</f>
        <v>44348</v>
      </c>
      <c r="V10" s="352">
        <f t="shared" ref="V10" si="90">EDATE(U10,1)</f>
        <v>44378</v>
      </c>
      <c r="W10" s="352">
        <f t="shared" ref="W10" si="91">EDATE(V10,1)</f>
        <v>44409</v>
      </c>
      <c r="X10" s="352">
        <f t="shared" ref="X10" si="92">EDATE(W10,1)</f>
        <v>44440</v>
      </c>
      <c r="Y10" s="352">
        <f t="shared" ref="Y10" si="93">EDATE(X10,1)</f>
        <v>44470</v>
      </c>
      <c r="Z10" s="352">
        <f t="shared" ref="Z10" si="94">EDATE(Y10,1)</f>
        <v>44501</v>
      </c>
      <c r="AA10" s="352">
        <f t="shared" ref="AA10" si="95">EDATE(Z10,1)</f>
        <v>44531</v>
      </c>
      <c r="AB10" s="290">
        <f>+Cuestionario!$C$11</f>
        <v>44197</v>
      </c>
      <c r="AC10" s="290">
        <f>EDATE(AB10,1)</f>
        <v>44228</v>
      </c>
      <c r="AD10" s="290">
        <f t="shared" ref="AD10" si="96">EDATE(AC10,1)</f>
        <v>44256</v>
      </c>
      <c r="AE10" s="290">
        <f t="shared" ref="AE10" si="97">EDATE(AD10,1)</f>
        <v>44287</v>
      </c>
      <c r="AF10" s="290">
        <f t="shared" ref="AF10" si="98">EDATE(AE10,1)</f>
        <v>44317</v>
      </c>
      <c r="AG10" s="290">
        <f t="shared" ref="AG10" si="99">EDATE(AF10,1)</f>
        <v>44348</v>
      </c>
      <c r="AH10" s="290">
        <f t="shared" ref="AH10" si="100">EDATE(AG10,1)</f>
        <v>44378</v>
      </c>
      <c r="AI10" s="290">
        <f t="shared" ref="AI10" si="101">EDATE(AH10,1)</f>
        <v>44409</v>
      </c>
      <c r="AJ10" s="290">
        <f t="shared" ref="AJ10" si="102">EDATE(AI10,1)</f>
        <v>44440</v>
      </c>
      <c r="AK10" s="290">
        <f t="shared" ref="AK10" si="103">EDATE(AJ10,1)</f>
        <v>44470</v>
      </c>
      <c r="AL10" s="290">
        <f t="shared" ref="AL10" si="104">EDATE(AK10,1)</f>
        <v>44501</v>
      </c>
      <c r="AM10" s="290">
        <f t="shared" ref="AM10" si="105">EDATE(AL10,1)</f>
        <v>44531</v>
      </c>
    </row>
    <row r="11" spans="2:39">
      <c r="B11" s="348" t="s">
        <v>129</v>
      </c>
      <c r="C11" s="349"/>
      <c r="D11" s="350">
        <f>+'Personal retribución'!J69</f>
        <v>0</v>
      </c>
      <c r="E11" s="350">
        <f>+'Personal retribución'!K69</f>
        <v>0</v>
      </c>
      <c r="F11" s="350">
        <f>+'Personal retribución'!L69</f>
        <v>0</v>
      </c>
      <c r="G11" s="350">
        <f>+'Personal retribución'!M69</f>
        <v>0</v>
      </c>
      <c r="H11" s="350">
        <f>+'Personal retribución'!N69</f>
        <v>0</v>
      </c>
      <c r="I11" s="350">
        <f>+'Personal retribución'!O69</f>
        <v>0</v>
      </c>
      <c r="J11" s="350">
        <f>+'Personal retribución'!P69</f>
        <v>0</v>
      </c>
      <c r="K11" s="350">
        <f>+'Personal retribución'!Q69</f>
        <v>0</v>
      </c>
      <c r="L11" s="350">
        <f>+'Personal retribución'!R69</f>
        <v>0</v>
      </c>
      <c r="M11" s="350">
        <f>+'Personal retribución'!S69</f>
        <v>0</v>
      </c>
      <c r="N11" s="350">
        <f>+'Personal retribución'!T69</f>
        <v>0</v>
      </c>
      <c r="O11" s="350">
        <f>+'Personal retribución'!U69</f>
        <v>0</v>
      </c>
      <c r="P11" s="350">
        <f>+'Personal retribución'!V69</f>
        <v>0</v>
      </c>
      <c r="Q11" s="350">
        <f>+'Personal retribución'!W69</f>
        <v>0</v>
      </c>
      <c r="R11" s="350">
        <f>+'Personal retribución'!X69</f>
        <v>0</v>
      </c>
      <c r="S11" s="350">
        <f>+'Personal retribución'!Y69</f>
        <v>0</v>
      </c>
      <c r="T11" s="350">
        <f>+'Personal retribución'!Z69</f>
        <v>0</v>
      </c>
      <c r="U11" s="350">
        <f>+'Personal retribución'!AA69</f>
        <v>0</v>
      </c>
      <c r="V11" s="350">
        <f>+'Personal retribución'!AB69</f>
        <v>0</v>
      </c>
      <c r="W11" s="350">
        <f>+'Personal retribución'!AC69</f>
        <v>0</v>
      </c>
      <c r="X11" s="350">
        <f>+'Personal retribución'!AD69</f>
        <v>0</v>
      </c>
      <c r="Y11" s="350">
        <f>+'Personal retribución'!AE69</f>
        <v>0</v>
      </c>
      <c r="Z11" s="350">
        <f>+'Personal retribución'!AF69</f>
        <v>0</v>
      </c>
      <c r="AA11" s="350">
        <f>+'Personal retribución'!AG69</f>
        <v>0</v>
      </c>
      <c r="AB11" s="350">
        <f>+'Personal retribución'!AH69</f>
        <v>0</v>
      </c>
      <c r="AC11" s="350">
        <f>+'Personal retribución'!AI69</f>
        <v>0</v>
      </c>
      <c r="AD11" s="350">
        <f>+'Personal retribución'!AJ69</f>
        <v>0</v>
      </c>
      <c r="AE11" s="350">
        <f>+'Personal retribución'!AK69</f>
        <v>0</v>
      </c>
      <c r="AF11" s="350">
        <f>+'Personal retribución'!AL69</f>
        <v>0</v>
      </c>
      <c r="AG11" s="350">
        <f>+'Personal retribución'!AM69</f>
        <v>0</v>
      </c>
      <c r="AH11" s="350">
        <f>+'Personal retribución'!AN69</f>
        <v>0</v>
      </c>
      <c r="AI11" s="350">
        <f>+'Personal retribución'!AO69</f>
        <v>0</v>
      </c>
      <c r="AJ11" s="350">
        <f>+'Personal retribución'!AP69</f>
        <v>0</v>
      </c>
      <c r="AK11" s="350">
        <f>+'Personal retribución'!AQ69</f>
        <v>0</v>
      </c>
      <c r="AL11" s="350">
        <f>+'Personal retribución'!AR69</f>
        <v>0</v>
      </c>
      <c r="AM11" s="350">
        <f>+'Personal retribución'!AS69</f>
        <v>0</v>
      </c>
    </row>
    <row r="12" spans="2:39">
      <c r="B12" s="348" t="s">
        <v>130</v>
      </c>
      <c r="C12" s="349"/>
      <c r="D12" s="350">
        <f>+'Personal retribución'!J103</f>
        <v>0</v>
      </c>
      <c r="E12" s="350">
        <f>+'Personal retribución'!K103</f>
        <v>0</v>
      </c>
      <c r="F12" s="350">
        <f>+'Personal retribución'!L103</f>
        <v>0</v>
      </c>
      <c r="G12" s="350">
        <f>+'Personal retribución'!M103</f>
        <v>0</v>
      </c>
      <c r="H12" s="350">
        <f>+'Personal retribución'!N103</f>
        <v>0</v>
      </c>
      <c r="I12" s="350">
        <f>+'Personal retribución'!O103</f>
        <v>0</v>
      </c>
      <c r="J12" s="350">
        <f>+'Personal retribución'!P103</f>
        <v>0</v>
      </c>
      <c r="K12" s="350">
        <f>+'Personal retribución'!Q103</f>
        <v>0</v>
      </c>
      <c r="L12" s="350">
        <f>+'Personal retribución'!R103</f>
        <v>0</v>
      </c>
      <c r="M12" s="350">
        <f>+'Personal retribución'!S103</f>
        <v>0</v>
      </c>
      <c r="N12" s="350">
        <f>+'Personal retribución'!T103</f>
        <v>0</v>
      </c>
      <c r="O12" s="350">
        <f>+'Personal retribución'!U103</f>
        <v>0</v>
      </c>
      <c r="P12" s="350">
        <f>+'Personal retribución'!V103</f>
        <v>0</v>
      </c>
      <c r="Q12" s="350">
        <f>+'Personal retribución'!W103</f>
        <v>0</v>
      </c>
      <c r="R12" s="350">
        <f>+'Personal retribución'!X103</f>
        <v>0</v>
      </c>
      <c r="S12" s="350">
        <f>+'Personal retribución'!Y103</f>
        <v>0</v>
      </c>
      <c r="T12" s="350">
        <f>+'Personal retribución'!Z103</f>
        <v>0</v>
      </c>
      <c r="U12" s="350">
        <f>+'Personal retribución'!AA103</f>
        <v>0</v>
      </c>
      <c r="V12" s="350">
        <f>+'Personal retribución'!AB103</f>
        <v>0</v>
      </c>
      <c r="W12" s="350">
        <f>+'Personal retribución'!AC103</f>
        <v>0</v>
      </c>
      <c r="X12" s="350">
        <f>+'Personal retribución'!AD103</f>
        <v>0</v>
      </c>
      <c r="Y12" s="350">
        <f>+'Personal retribución'!AE103</f>
        <v>0</v>
      </c>
      <c r="Z12" s="350">
        <f>+'Personal retribución'!AF103</f>
        <v>0</v>
      </c>
      <c r="AA12" s="350">
        <f>+'Personal retribución'!AG103</f>
        <v>0</v>
      </c>
      <c r="AB12" s="350">
        <f>+'Personal retribución'!AH103</f>
        <v>0</v>
      </c>
      <c r="AC12" s="350">
        <f>+'Personal retribución'!AI103</f>
        <v>0</v>
      </c>
      <c r="AD12" s="350">
        <f>+'Personal retribución'!AJ103</f>
        <v>0</v>
      </c>
      <c r="AE12" s="350">
        <f>+'Personal retribución'!AK103</f>
        <v>0</v>
      </c>
      <c r="AF12" s="350">
        <f>+'Personal retribución'!AL103</f>
        <v>0</v>
      </c>
      <c r="AG12" s="350">
        <f>+'Personal retribución'!AM103</f>
        <v>0</v>
      </c>
      <c r="AH12" s="350">
        <f>+'Personal retribución'!AN103</f>
        <v>0</v>
      </c>
      <c r="AI12" s="350">
        <f>+'Personal retribución'!AO103</f>
        <v>0</v>
      </c>
      <c r="AJ12" s="350">
        <f>+'Personal retribución'!AP103</f>
        <v>0</v>
      </c>
      <c r="AK12" s="350">
        <f>+'Personal retribución'!AQ103</f>
        <v>0</v>
      </c>
      <c r="AL12" s="350">
        <f>+'Personal retribución'!AR103</f>
        <v>0</v>
      </c>
      <c r="AM12" s="350">
        <f>+'Personal retribución'!AS103</f>
        <v>0</v>
      </c>
    </row>
    <row r="13" spans="2:39">
      <c r="B13" s="19" t="s">
        <v>822</v>
      </c>
      <c r="C13" s="96" t="s">
        <v>213</v>
      </c>
      <c r="D13" s="12">
        <v>0</v>
      </c>
      <c r="E13" s="12">
        <f t="shared" ref="E13:E23" si="106">+D13</f>
        <v>0</v>
      </c>
      <c r="F13" s="12">
        <f t="shared" ref="F13:F23" si="107">+E13</f>
        <v>0</v>
      </c>
      <c r="G13" s="12">
        <f t="shared" ref="G13:G23" si="108">+F13</f>
        <v>0</v>
      </c>
      <c r="H13" s="12">
        <f t="shared" ref="H13:H23" si="109">+G13</f>
        <v>0</v>
      </c>
      <c r="I13" s="12">
        <f t="shared" ref="I13:I23" si="110">+H13</f>
        <v>0</v>
      </c>
      <c r="J13" s="12">
        <f t="shared" ref="J13:J23" si="111">+I13</f>
        <v>0</v>
      </c>
      <c r="K13" s="12">
        <f t="shared" ref="K13:K23" si="112">+J13</f>
        <v>0</v>
      </c>
      <c r="L13" s="12">
        <f t="shared" ref="L13:L23" si="113">+K13</f>
        <v>0</v>
      </c>
      <c r="M13" s="12">
        <f t="shared" ref="M13:M23" si="114">+L13</f>
        <v>0</v>
      </c>
      <c r="N13" s="12">
        <f t="shared" ref="N13:N23" si="115">+M13</f>
        <v>0</v>
      </c>
      <c r="O13" s="12">
        <f t="shared" ref="O13:O23" si="116">+N13</f>
        <v>0</v>
      </c>
      <c r="P13" s="12">
        <f t="shared" ref="P13:P23" si="117">+O13</f>
        <v>0</v>
      </c>
      <c r="Q13" s="12">
        <f t="shared" ref="Q13:Q23" si="118">+P13</f>
        <v>0</v>
      </c>
      <c r="R13" s="12">
        <f t="shared" ref="R13:R23" si="119">+Q13</f>
        <v>0</v>
      </c>
      <c r="S13" s="12">
        <f t="shared" ref="S13:S23" si="120">+R13</f>
        <v>0</v>
      </c>
      <c r="T13" s="12">
        <f t="shared" ref="T13:T23" si="121">+S13</f>
        <v>0</v>
      </c>
      <c r="U13" s="12">
        <f t="shared" ref="U13:U23" si="122">+T13</f>
        <v>0</v>
      </c>
      <c r="V13" s="12">
        <f t="shared" ref="V13:V23" si="123">+U13</f>
        <v>0</v>
      </c>
      <c r="W13" s="12">
        <f t="shared" ref="W13:W23" si="124">+V13</f>
        <v>0</v>
      </c>
      <c r="X13" s="12">
        <f t="shared" ref="X13:X23" si="125">+W13</f>
        <v>0</v>
      </c>
      <c r="Y13" s="12">
        <f t="shared" ref="Y13:Y23" si="126">+X13</f>
        <v>0</v>
      </c>
      <c r="Z13" s="12">
        <f t="shared" ref="Z13:Z23" si="127">+Y13</f>
        <v>0</v>
      </c>
      <c r="AA13" s="12">
        <f t="shared" ref="AA13:AA23" si="128">+Z13</f>
        <v>0</v>
      </c>
      <c r="AB13" s="12">
        <f t="shared" ref="AB13:AB23" si="129">+AA13</f>
        <v>0</v>
      </c>
      <c r="AC13" s="12">
        <f t="shared" ref="AC13:AC23" si="130">+AB13</f>
        <v>0</v>
      </c>
      <c r="AD13" s="12">
        <f t="shared" ref="AD13:AD23" si="131">+AC13</f>
        <v>0</v>
      </c>
      <c r="AE13" s="12">
        <f t="shared" ref="AE13:AE23" si="132">+AD13</f>
        <v>0</v>
      </c>
      <c r="AF13" s="12">
        <f t="shared" ref="AF13:AF23" si="133">+AE13</f>
        <v>0</v>
      </c>
      <c r="AG13" s="12">
        <f t="shared" ref="AG13:AG23" si="134">+AF13</f>
        <v>0</v>
      </c>
      <c r="AH13" s="12">
        <f t="shared" ref="AH13:AH23" si="135">+AG13</f>
        <v>0</v>
      </c>
      <c r="AI13" s="12">
        <f t="shared" ref="AI13:AI23" si="136">+AH13</f>
        <v>0</v>
      </c>
      <c r="AJ13" s="12">
        <f t="shared" ref="AJ13:AJ23" si="137">+AI13</f>
        <v>0</v>
      </c>
      <c r="AK13" s="12">
        <f t="shared" ref="AK13:AK23" si="138">+AJ13</f>
        <v>0</v>
      </c>
      <c r="AL13" s="12">
        <f t="shared" ref="AL13:AL23" si="139">+AK13</f>
        <v>0</v>
      </c>
      <c r="AM13" s="12">
        <f t="shared" ref="AM13:AM23" si="140">+AL13</f>
        <v>0</v>
      </c>
    </row>
    <row r="14" spans="2:39">
      <c r="B14" s="12"/>
      <c r="C14" s="96" t="s">
        <v>213</v>
      </c>
      <c r="D14" s="12">
        <v>0</v>
      </c>
      <c r="E14" s="12">
        <f t="shared" si="106"/>
        <v>0</v>
      </c>
      <c r="F14" s="12">
        <f t="shared" si="107"/>
        <v>0</v>
      </c>
      <c r="G14" s="12">
        <f t="shared" si="108"/>
        <v>0</v>
      </c>
      <c r="H14" s="12">
        <f t="shared" si="109"/>
        <v>0</v>
      </c>
      <c r="I14" s="12">
        <f t="shared" si="110"/>
        <v>0</v>
      </c>
      <c r="J14" s="12">
        <f t="shared" si="111"/>
        <v>0</v>
      </c>
      <c r="K14" s="12">
        <f t="shared" si="112"/>
        <v>0</v>
      </c>
      <c r="L14" s="12">
        <f t="shared" si="113"/>
        <v>0</v>
      </c>
      <c r="M14" s="12">
        <f t="shared" si="114"/>
        <v>0</v>
      </c>
      <c r="N14" s="12">
        <f t="shared" si="115"/>
        <v>0</v>
      </c>
      <c r="O14" s="12">
        <f t="shared" si="116"/>
        <v>0</v>
      </c>
      <c r="P14" s="12">
        <f t="shared" si="117"/>
        <v>0</v>
      </c>
      <c r="Q14" s="12">
        <f t="shared" si="118"/>
        <v>0</v>
      </c>
      <c r="R14" s="12">
        <f t="shared" si="119"/>
        <v>0</v>
      </c>
      <c r="S14" s="12">
        <f t="shared" si="120"/>
        <v>0</v>
      </c>
      <c r="T14" s="12">
        <f t="shared" si="121"/>
        <v>0</v>
      </c>
      <c r="U14" s="12">
        <f t="shared" si="122"/>
        <v>0</v>
      </c>
      <c r="V14" s="12">
        <f t="shared" si="123"/>
        <v>0</v>
      </c>
      <c r="W14" s="12">
        <f t="shared" si="124"/>
        <v>0</v>
      </c>
      <c r="X14" s="12">
        <f t="shared" si="125"/>
        <v>0</v>
      </c>
      <c r="Y14" s="12">
        <f t="shared" si="126"/>
        <v>0</v>
      </c>
      <c r="Z14" s="12">
        <f t="shared" si="127"/>
        <v>0</v>
      </c>
      <c r="AA14" s="12">
        <f t="shared" si="128"/>
        <v>0</v>
      </c>
      <c r="AB14" s="12">
        <f t="shared" si="129"/>
        <v>0</v>
      </c>
      <c r="AC14" s="12">
        <f t="shared" si="130"/>
        <v>0</v>
      </c>
      <c r="AD14" s="12">
        <f t="shared" si="131"/>
        <v>0</v>
      </c>
      <c r="AE14" s="12">
        <f t="shared" si="132"/>
        <v>0</v>
      </c>
      <c r="AF14" s="12">
        <f t="shared" si="133"/>
        <v>0</v>
      </c>
      <c r="AG14" s="12">
        <f t="shared" si="134"/>
        <v>0</v>
      </c>
      <c r="AH14" s="12">
        <f t="shared" si="135"/>
        <v>0</v>
      </c>
      <c r="AI14" s="12">
        <f t="shared" si="136"/>
        <v>0</v>
      </c>
      <c r="AJ14" s="12">
        <f t="shared" si="137"/>
        <v>0</v>
      </c>
      <c r="AK14" s="12">
        <f t="shared" si="138"/>
        <v>0</v>
      </c>
      <c r="AL14" s="12">
        <f t="shared" si="139"/>
        <v>0</v>
      </c>
      <c r="AM14" s="12">
        <f t="shared" si="140"/>
        <v>0</v>
      </c>
    </row>
    <row r="15" spans="2:39">
      <c r="B15" s="12"/>
      <c r="C15" s="96" t="s">
        <v>213</v>
      </c>
      <c r="D15" s="12">
        <v>0</v>
      </c>
      <c r="E15" s="12">
        <f t="shared" si="106"/>
        <v>0</v>
      </c>
      <c r="F15" s="12">
        <f t="shared" si="107"/>
        <v>0</v>
      </c>
      <c r="G15" s="12">
        <f t="shared" si="108"/>
        <v>0</v>
      </c>
      <c r="H15" s="12">
        <f t="shared" si="109"/>
        <v>0</v>
      </c>
      <c r="I15" s="12">
        <f t="shared" si="110"/>
        <v>0</v>
      </c>
      <c r="J15" s="12">
        <f t="shared" si="111"/>
        <v>0</v>
      </c>
      <c r="K15" s="12">
        <f t="shared" si="112"/>
        <v>0</v>
      </c>
      <c r="L15" s="12">
        <f t="shared" si="113"/>
        <v>0</v>
      </c>
      <c r="M15" s="12">
        <f t="shared" si="114"/>
        <v>0</v>
      </c>
      <c r="N15" s="12">
        <f t="shared" si="115"/>
        <v>0</v>
      </c>
      <c r="O15" s="12">
        <f t="shared" si="116"/>
        <v>0</v>
      </c>
      <c r="P15" s="12">
        <f t="shared" si="117"/>
        <v>0</v>
      </c>
      <c r="Q15" s="12">
        <f t="shared" si="118"/>
        <v>0</v>
      </c>
      <c r="R15" s="12">
        <f t="shared" si="119"/>
        <v>0</v>
      </c>
      <c r="S15" s="12">
        <f t="shared" si="120"/>
        <v>0</v>
      </c>
      <c r="T15" s="12">
        <f t="shared" si="121"/>
        <v>0</v>
      </c>
      <c r="U15" s="12">
        <f t="shared" si="122"/>
        <v>0</v>
      </c>
      <c r="V15" s="12">
        <f t="shared" si="123"/>
        <v>0</v>
      </c>
      <c r="W15" s="12">
        <f t="shared" si="124"/>
        <v>0</v>
      </c>
      <c r="X15" s="12">
        <f t="shared" si="125"/>
        <v>0</v>
      </c>
      <c r="Y15" s="12">
        <f t="shared" si="126"/>
        <v>0</v>
      </c>
      <c r="Z15" s="12">
        <f t="shared" si="127"/>
        <v>0</v>
      </c>
      <c r="AA15" s="12">
        <f t="shared" si="128"/>
        <v>0</v>
      </c>
      <c r="AB15" s="12">
        <f t="shared" si="129"/>
        <v>0</v>
      </c>
      <c r="AC15" s="12">
        <f t="shared" si="130"/>
        <v>0</v>
      </c>
      <c r="AD15" s="12">
        <f t="shared" si="131"/>
        <v>0</v>
      </c>
      <c r="AE15" s="12">
        <f t="shared" si="132"/>
        <v>0</v>
      </c>
      <c r="AF15" s="12">
        <f t="shared" si="133"/>
        <v>0</v>
      </c>
      <c r="AG15" s="12">
        <f t="shared" si="134"/>
        <v>0</v>
      </c>
      <c r="AH15" s="12">
        <f t="shared" si="135"/>
        <v>0</v>
      </c>
      <c r="AI15" s="12">
        <f t="shared" si="136"/>
        <v>0</v>
      </c>
      <c r="AJ15" s="12">
        <f t="shared" si="137"/>
        <v>0</v>
      </c>
      <c r="AK15" s="12">
        <f t="shared" si="138"/>
        <v>0</v>
      </c>
      <c r="AL15" s="12">
        <f t="shared" si="139"/>
        <v>0</v>
      </c>
      <c r="AM15" s="12">
        <f t="shared" si="140"/>
        <v>0</v>
      </c>
    </row>
    <row r="16" spans="2:39">
      <c r="B16" s="12"/>
      <c r="C16" s="96" t="s">
        <v>213</v>
      </c>
      <c r="D16" s="12">
        <v>0</v>
      </c>
      <c r="E16" s="12">
        <f t="shared" si="106"/>
        <v>0</v>
      </c>
      <c r="F16" s="12">
        <f t="shared" si="107"/>
        <v>0</v>
      </c>
      <c r="G16" s="12">
        <f t="shared" si="108"/>
        <v>0</v>
      </c>
      <c r="H16" s="12">
        <f t="shared" si="109"/>
        <v>0</v>
      </c>
      <c r="I16" s="12">
        <f t="shared" si="110"/>
        <v>0</v>
      </c>
      <c r="J16" s="12">
        <f t="shared" si="111"/>
        <v>0</v>
      </c>
      <c r="K16" s="12">
        <f t="shared" si="112"/>
        <v>0</v>
      </c>
      <c r="L16" s="12">
        <f t="shared" si="113"/>
        <v>0</v>
      </c>
      <c r="M16" s="12">
        <f t="shared" si="114"/>
        <v>0</v>
      </c>
      <c r="N16" s="12">
        <f t="shared" si="115"/>
        <v>0</v>
      </c>
      <c r="O16" s="12">
        <f t="shared" si="116"/>
        <v>0</v>
      </c>
      <c r="P16" s="12">
        <f t="shared" si="117"/>
        <v>0</v>
      </c>
      <c r="Q16" s="12">
        <f t="shared" si="118"/>
        <v>0</v>
      </c>
      <c r="R16" s="12">
        <f t="shared" si="119"/>
        <v>0</v>
      </c>
      <c r="S16" s="12">
        <f t="shared" si="120"/>
        <v>0</v>
      </c>
      <c r="T16" s="12">
        <f t="shared" si="121"/>
        <v>0</v>
      </c>
      <c r="U16" s="12">
        <f t="shared" si="122"/>
        <v>0</v>
      </c>
      <c r="V16" s="12">
        <f t="shared" si="123"/>
        <v>0</v>
      </c>
      <c r="W16" s="12">
        <f t="shared" si="124"/>
        <v>0</v>
      </c>
      <c r="X16" s="12">
        <f t="shared" si="125"/>
        <v>0</v>
      </c>
      <c r="Y16" s="12">
        <f t="shared" si="126"/>
        <v>0</v>
      </c>
      <c r="Z16" s="12">
        <f t="shared" si="127"/>
        <v>0</v>
      </c>
      <c r="AA16" s="12">
        <f t="shared" si="128"/>
        <v>0</v>
      </c>
      <c r="AB16" s="12">
        <f t="shared" si="129"/>
        <v>0</v>
      </c>
      <c r="AC16" s="12">
        <f t="shared" si="130"/>
        <v>0</v>
      </c>
      <c r="AD16" s="12">
        <f t="shared" si="131"/>
        <v>0</v>
      </c>
      <c r="AE16" s="12">
        <f t="shared" si="132"/>
        <v>0</v>
      </c>
      <c r="AF16" s="12">
        <f t="shared" si="133"/>
        <v>0</v>
      </c>
      <c r="AG16" s="12">
        <f t="shared" si="134"/>
        <v>0</v>
      </c>
      <c r="AH16" s="12">
        <f t="shared" si="135"/>
        <v>0</v>
      </c>
      <c r="AI16" s="12">
        <f t="shared" si="136"/>
        <v>0</v>
      </c>
      <c r="AJ16" s="12">
        <f t="shared" si="137"/>
        <v>0</v>
      </c>
      <c r="AK16" s="12">
        <f t="shared" si="138"/>
        <v>0</v>
      </c>
      <c r="AL16" s="12">
        <f t="shared" si="139"/>
        <v>0</v>
      </c>
      <c r="AM16" s="12">
        <f t="shared" si="140"/>
        <v>0</v>
      </c>
    </row>
    <row r="17" spans="2:39">
      <c r="B17" s="12"/>
      <c r="C17" s="96" t="s">
        <v>213</v>
      </c>
      <c r="D17" s="12">
        <v>0</v>
      </c>
      <c r="E17" s="12">
        <f t="shared" si="106"/>
        <v>0</v>
      </c>
      <c r="F17" s="12">
        <f t="shared" si="107"/>
        <v>0</v>
      </c>
      <c r="G17" s="12">
        <f t="shared" si="108"/>
        <v>0</v>
      </c>
      <c r="H17" s="12">
        <f t="shared" si="109"/>
        <v>0</v>
      </c>
      <c r="I17" s="12">
        <f t="shared" si="110"/>
        <v>0</v>
      </c>
      <c r="J17" s="12">
        <f t="shared" si="111"/>
        <v>0</v>
      </c>
      <c r="K17" s="12">
        <f t="shared" si="112"/>
        <v>0</v>
      </c>
      <c r="L17" s="12">
        <f t="shared" si="113"/>
        <v>0</v>
      </c>
      <c r="M17" s="12">
        <f t="shared" si="114"/>
        <v>0</v>
      </c>
      <c r="N17" s="12">
        <f t="shared" si="115"/>
        <v>0</v>
      </c>
      <c r="O17" s="12">
        <f t="shared" si="116"/>
        <v>0</v>
      </c>
      <c r="P17" s="12">
        <f t="shared" si="117"/>
        <v>0</v>
      </c>
      <c r="Q17" s="12">
        <f t="shared" si="118"/>
        <v>0</v>
      </c>
      <c r="R17" s="12">
        <f t="shared" si="119"/>
        <v>0</v>
      </c>
      <c r="S17" s="12">
        <f t="shared" si="120"/>
        <v>0</v>
      </c>
      <c r="T17" s="12">
        <f t="shared" si="121"/>
        <v>0</v>
      </c>
      <c r="U17" s="12">
        <f t="shared" si="122"/>
        <v>0</v>
      </c>
      <c r="V17" s="12">
        <f t="shared" si="123"/>
        <v>0</v>
      </c>
      <c r="W17" s="12">
        <f t="shared" si="124"/>
        <v>0</v>
      </c>
      <c r="X17" s="12">
        <f t="shared" si="125"/>
        <v>0</v>
      </c>
      <c r="Y17" s="12">
        <f t="shared" si="126"/>
        <v>0</v>
      </c>
      <c r="Z17" s="12">
        <f t="shared" si="127"/>
        <v>0</v>
      </c>
      <c r="AA17" s="12">
        <f t="shared" si="128"/>
        <v>0</v>
      </c>
      <c r="AB17" s="12">
        <f t="shared" si="129"/>
        <v>0</v>
      </c>
      <c r="AC17" s="12">
        <f t="shared" si="130"/>
        <v>0</v>
      </c>
      <c r="AD17" s="12">
        <f t="shared" si="131"/>
        <v>0</v>
      </c>
      <c r="AE17" s="12">
        <f t="shared" si="132"/>
        <v>0</v>
      </c>
      <c r="AF17" s="12">
        <f t="shared" si="133"/>
        <v>0</v>
      </c>
      <c r="AG17" s="12">
        <f t="shared" si="134"/>
        <v>0</v>
      </c>
      <c r="AH17" s="12">
        <f t="shared" si="135"/>
        <v>0</v>
      </c>
      <c r="AI17" s="12">
        <f t="shared" si="136"/>
        <v>0</v>
      </c>
      <c r="AJ17" s="12">
        <f t="shared" si="137"/>
        <v>0</v>
      </c>
      <c r="AK17" s="12">
        <f t="shared" si="138"/>
        <v>0</v>
      </c>
      <c r="AL17" s="12">
        <f t="shared" si="139"/>
        <v>0</v>
      </c>
      <c r="AM17" s="12">
        <f t="shared" si="140"/>
        <v>0</v>
      </c>
    </row>
    <row r="18" spans="2:39">
      <c r="B18" s="12"/>
      <c r="C18" s="96" t="s">
        <v>213</v>
      </c>
      <c r="D18" s="12">
        <v>0</v>
      </c>
      <c r="E18" s="12">
        <f t="shared" si="106"/>
        <v>0</v>
      </c>
      <c r="F18" s="12">
        <f t="shared" si="107"/>
        <v>0</v>
      </c>
      <c r="G18" s="12">
        <f t="shared" si="108"/>
        <v>0</v>
      </c>
      <c r="H18" s="12">
        <f t="shared" si="109"/>
        <v>0</v>
      </c>
      <c r="I18" s="12">
        <f t="shared" si="110"/>
        <v>0</v>
      </c>
      <c r="J18" s="12">
        <f t="shared" si="111"/>
        <v>0</v>
      </c>
      <c r="K18" s="12">
        <f t="shared" si="112"/>
        <v>0</v>
      </c>
      <c r="L18" s="12">
        <f t="shared" si="113"/>
        <v>0</v>
      </c>
      <c r="M18" s="12">
        <f t="shared" si="114"/>
        <v>0</v>
      </c>
      <c r="N18" s="12">
        <f t="shared" si="115"/>
        <v>0</v>
      </c>
      <c r="O18" s="12">
        <f t="shared" si="116"/>
        <v>0</v>
      </c>
      <c r="P18" s="12">
        <f t="shared" si="117"/>
        <v>0</v>
      </c>
      <c r="Q18" s="12">
        <f t="shared" si="118"/>
        <v>0</v>
      </c>
      <c r="R18" s="12">
        <f t="shared" si="119"/>
        <v>0</v>
      </c>
      <c r="S18" s="12">
        <f t="shared" si="120"/>
        <v>0</v>
      </c>
      <c r="T18" s="12">
        <f t="shared" si="121"/>
        <v>0</v>
      </c>
      <c r="U18" s="12">
        <f t="shared" si="122"/>
        <v>0</v>
      </c>
      <c r="V18" s="12">
        <f t="shared" si="123"/>
        <v>0</v>
      </c>
      <c r="W18" s="12">
        <f t="shared" si="124"/>
        <v>0</v>
      </c>
      <c r="X18" s="12">
        <f t="shared" si="125"/>
        <v>0</v>
      </c>
      <c r="Y18" s="12">
        <f t="shared" si="126"/>
        <v>0</v>
      </c>
      <c r="Z18" s="12">
        <f t="shared" si="127"/>
        <v>0</v>
      </c>
      <c r="AA18" s="12">
        <f t="shared" si="128"/>
        <v>0</v>
      </c>
      <c r="AB18" s="12">
        <f t="shared" si="129"/>
        <v>0</v>
      </c>
      <c r="AC18" s="12">
        <f t="shared" si="130"/>
        <v>0</v>
      </c>
      <c r="AD18" s="12">
        <f t="shared" si="131"/>
        <v>0</v>
      </c>
      <c r="AE18" s="12">
        <f t="shared" si="132"/>
        <v>0</v>
      </c>
      <c r="AF18" s="12">
        <f t="shared" si="133"/>
        <v>0</v>
      </c>
      <c r="AG18" s="12">
        <f t="shared" si="134"/>
        <v>0</v>
      </c>
      <c r="AH18" s="12">
        <f t="shared" si="135"/>
        <v>0</v>
      </c>
      <c r="AI18" s="12">
        <f t="shared" si="136"/>
        <v>0</v>
      </c>
      <c r="AJ18" s="12">
        <f t="shared" si="137"/>
        <v>0</v>
      </c>
      <c r="AK18" s="12">
        <f t="shared" si="138"/>
        <v>0</v>
      </c>
      <c r="AL18" s="12">
        <f t="shared" si="139"/>
        <v>0</v>
      </c>
      <c r="AM18" s="12">
        <f t="shared" si="140"/>
        <v>0</v>
      </c>
    </row>
    <row r="19" spans="2:39">
      <c r="B19" s="12"/>
      <c r="C19" s="96" t="s">
        <v>213</v>
      </c>
      <c r="D19" s="12">
        <v>0</v>
      </c>
      <c r="E19" s="12">
        <f t="shared" si="106"/>
        <v>0</v>
      </c>
      <c r="F19" s="12">
        <f t="shared" si="107"/>
        <v>0</v>
      </c>
      <c r="G19" s="12">
        <f t="shared" si="108"/>
        <v>0</v>
      </c>
      <c r="H19" s="12">
        <f t="shared" si="109"/>
        <v>0</v>
      </c>
      <c r="I19" s="12">
        <f t="shared" si="110"/>
        <v>0</v>
      </c>
      <c r="J19" s="12">
        <f t="shared" si="111"/>
        <v>0</v>
      </c>
      <c r="K19" s="12">
        <f t="shared" si="112"/>
        <v>0</v>
      </c>
      <c r="L19" s="12">
        <f t="shared" si="113"/>
        <v>0</v>
      </c>
      <c r="M19" s="12">
        <f t="shared" si="114"/>
        <v>0</v>
      </c>
      <c r="N19" s="12">
        <f t="shared" si="115"/>
        <v>0</v>
      </c>
      <c r="O19" s="12">
        <f t="shared" si="116"/>
        <v>0</v>
      </c>
      <c r="P19" s="12">
        <f t="shared" si="117"/>
        <v>0</v>
      </c>
      <c r="Q19" s="12">
        <f t="shared" si="118"/>
        <v>0</v>
      </c>
      <c r="R19" s="12">
        <f t="shared" si="119"/>
        <v>0</v>
      </c>
      <c r="S19" s="12">
        <f t="shared" si="120"/>
        <v>0</v>
      </c>
      <c r="T19" s="12">
        <f t="shared" si="121"/>
        <v>0</v>
      </c>
      <c r="U19" s="12">
        <f t="shared" si="122"/>
        <v>0</v>
      </c>
      <c r="V19" s="12">
        <f t="shared" si="123"/>
        <v>0</v>
      </c>
      <c r="W19" s="12">
        <f t="shared" si="124"/>
        <v>0</v>
      </c>
      <c r="X19" s="12">
        <f t="shared" si="125"/>
        <v>0</v>
      </c>
      <c r="Y19" s="12">
        <f t="shared" si="126"/>
        <v>0</v>
      </c>
      <c r="Z19" s="12">
        <f t="shared" si="127"/>
        <v>0</v>
      </c>
      <c r="AA19" s="12">
        <f t="shared" si="128"/>
        <v>0</v>
      </c>
      <c r="AB19" s="12">
        <f t="shared" si="129"/>
        <v>0</v>
      </c>
      <c r="AC19" s="12">
        <f t="shared" si="130"/>
        <v>0</v>
      </c>
      <c r="AD19" s="12">
        <f t="shared" si="131"/>
        <v>0</v>
      </c>
      <c r="AE19" s="12">
        <f t="shared" si="132"/>
        <v>0</v>
      </c>
      <c r="AF19" s="12">
        <f t="shared" si="133"/>
        <v>0</v>
      </c>
      <c r="AG19" s="12">
        <f t="shared" si="134"/>
        <v>0</v>
      </c>
      <c r="AH19" s="12">
        <f t="shared" si="135"/>
        <v>0</v>
      </c>
      <c r="AI19" s="12">
        <f t="shared" si="136"/>
        <v>0</v>
      </c>
      <c r="AJ19" s="12">
        <f t="shared" si="137"/>
        <v>0</v>
      </c>
      <c r="AK19" s="12">
        <f t="shared" si="138"/>
        <v>0</v>
      </c>
      <c r="AL19" s="12">
        <f t="shared" si="139"/>
        <v>0</v>
      </c>
      <c r="AM19" s="12">
        <f t="shared" si="140"/>
        <v>0</v>
      </c>
    </row>
    <row r="20" spans="2:39">
      <c r="B20" s="12"/>
      <c r="C20" s="96" t="s">
        <v>213</v>
      </c>
      <c r="D20" s="12">
        <v>0</v>
      </c>
      <c r="E20" s="12">
        <f t="shared" si="106"/>
        <v>0</v>
      </c>
      <c r="F20" s="12">
        <f t="shared" si="107"/>
        <v>0</v>
      </c>
      <c r="G20" s="12">
        <f t="shared" si="108"/>
        <v>0</v>
      </c>
      <c r="H20" s="12">
        <f t="shared" si="109"/>
        <v>0</v>
      </c>
      <c r="I20" s="12">
        <f t="shared" si="110"/>
        <v>0</v>
      </c>
      <c r="J20" s="12">
        <f t="shared" si="111"/>
        <v>0</v>
      </c>
      <c r="K20" s="12">
        <f t="shared" si="112"/>
        <v>0</v>
      </c>
      <c r="L20" s="12">
        <f t="shared" si="113"/>
        <v>0</v>
      </c>
      <c r="M20" s="12">
        <f t="shared" si="114"/>
        <v>0</v>
      </c>
      <c r="N20" s="12">
        <f t="shared" si="115"/>
        <v>0</v>
      </c>
      <c r="O20" s="12">
        <f t="shared" si="116"/>
        <v>0</v>
      </c>
      <c r="P20" s="12">
        <f t="shared" si="117"/>
        <v>0</v>
      </c>
      <c r="Q20" s="12">
        <f t="shared" si="118"/>
        <v>0</v>
      </c>
      <c r="R20" s="12">
        <f t="shared" si="119"/>
        <v>0</v>
      </c>
      <c r="S20" s="12">
        <f t="shared" si="120"/>
        <v>0</v>
      </c>
      <c r="T20" s="12">
        <f t="shared" si="121"/>
        <v>0</v>
      </c>
      <c r="U20" s="12">
        <f t="shared" si="122"/>
        <v>0</v>
      </c>
      <c r="V20" s="12">
        <f t="shared" si="123"/>
        <v>0</v>
      </c>
      <c r="W20" s="12">
        <f t="shared" si="124"/>
        <v>0</v>
      </c>
      <c r="X20" s="12">
        <f t="shared" si="125"/>
        <v>0</v>
      </c>
      <c r="Y20" s="12">
        <f t="shared" si="126"/>
        <v>0</v>
      </c>
      <c r="Z20" s="12">
        <f t="shared" si="127"/>
        <v>0</v>
      </c>
      <c r="AA20" s="12">
        <f t="shared" si="128"/>
        <v>0</v>
      </c>
      <c r="AB20" s="12">
        <f t="shared" si="129"/>
        <v>0</v>
      </c>
      <c r="AC20" s="12">
        <f t="shared" si="130"/>
        <v>0</v>
      </c>
      <c r="AD20" s="12">
        <f t="shared" si="131"/>
        <v>0</v>
      </c>
      <c r="AE20" s="12">
        <f t="shared" si="132"/>
        <v>0</v>
      </c>
      <c r="AF20" s="12">
        <f t="shared" si="133"/>
        <v>0</v>
      </c>
      <c r="AG20" s="12">
        <f t="shared" si="134"/>
        <v>0</v>
      </c>
      <c r="AH20" s="12">
        <f t="shared" si="135"/>
        <v>0</v>
      </c>
      <c r="AI20" s="12">
        <f t="shared" si="136"/>
        <v>0</v>
      </c>
      <c r="AJ20" s="12">
        <f t="shared" si="137"/>
        <v>0</v>
      </c>
      <c r="AK20" s="12">
        <f t="shared" si="138"/>
        <v>0</v>
      </c>
      <c r="AL20" s="12">
        <f t="shared" si="139"/>
        <v>0</v>
      </c>
      <c r="AM20" s="12">
        <f t="shared" si="140"/>
        <v>0</v>
      </c>
    </row>
    <row r="21" spans="2:39">
      <c r="B21" s="12"/>
      <c r="C21" s="96" t="s">
        <v>213</v>
      </c>
      <c r="D21" s="12">
        <v>0</v>
      </c>
      <c r="E21" s="12">
        <f t="shared" si="106"/>
        <v>0</v>
      </c>
      <c r="F21" s="12">
        <f t="shared" si="107"/>
        <v>0</v>
      </c>
      <c r="G21" s="12">
        <f t="shared" si="108"/>
        <v>0</v>
      </c>
      <c r="H21" s="12">
        <f t="shared" si="109"/>
        <v>0</v>
      </c>
      <c r="I21" s="12">
        <f t="shared" si="110"/>
        <v>0</v>
      </c>
      <c r="J21" s="12">
        <f t="shared" si="111"/>
        <v>0</v>
      </c>
      <c r="K21" s="12">
        <f t="shared" si="112"/>
        <v>0</v>
      </c>
      <c r="L21" s="12">
        <f t="shared" si="113"/>
        <v>0</v>
      </c>
      <c r="M21" s="12">
        <f t="shared" si="114"/>
        <v>0</v>
      </c>
      <c r="N21" s="12">
        <f t="shared" si="115"/>
        <v>0</v>
      </c>
      <c r="O21" s="12">
        <f t="shared" si="116"/>
        <v>0</v>
      </c>
      <c r="P21" s="12">
        <f t="shared" si="117"/>
        <v>0</v>
      </c>
      <c r="Q21" s="12">
        <f t="shared" si="118"/>
        <v>0</v>
      </c>
      <c r="R21" s="12">
        <f t="shared" si="119"/>
        <v>0</v>
      </c>
      <c r="S21" s="12">
        <f t="shared" si="120"/>
        <v>0</v>
      </c>
      <c r="T21" s="12">
        <f t="shared" si="121"/>
        <v>0</v>
      </c>
      <c r="U21" s="12">
        <f t="shared" si="122"/>
        <v>0</v>
      </c>
      <c r="V21" s="12">
        <f t="shared" si="123"/>
        <v>0</v>
      </c>
      <c r="W21" s="12">
        <f t="shared" si="124"/>
        <v>0</v>
      </c>
      <c r="X21" s="12">
        <f t="shared" si="125"/>
        <v>0</v>
      </c>
      <c r="Y21" s="12">
        <f t="shared" si="126"/>
        <v>0</v>
      </c>
      <c r="Z21" s="12">
        <f t="shared" si="127"/>
        <v>0</v>
      </c>
      <c r="AA21" s="12">
        <f t="shared" si="128"/>
        <v>0</v>
      </c>
      <c r="AB21" s="12">
        <f t="shared" si="129"/>
        <v>0</v>
      </c>
      <c r="AC21" s="12">
        <f t="shared" si="130"/>
        <v>0</v>
      </c>
      <c r="AD21" s="12">
        <f t="shared" si="131"/>
        <v>0</v>
      </c>
      <c r="AE21" s="12">
        <f t="shared" si="132"/>
        <v>0</v>
      </c>
      <c r="AF21" s="12">
        <f t="shared" si="133"/>
        <v>0</v>
      </c>
      <c r="AG21" s="12">
        <f t="shared" si="134"/>
        <v>0</v>
      </c>
      <c r="AH21" s="12">
        <f t="shared" si="135"/>
        <v>0</v>
      </c>
      <c r="AI21" s="12">
        <f t="shared" si="136"/>
        <v>0</v>
      </c>
      <c r="AJ21" s="12">
        <f t="shared" si="137"/>
        <v>0</v>
      </c>
      <c r="AK21" s="12">
        <f t="shared" si="138"/>
        <v>0</v>
      </c>
      <c r="AL21" s="12">
        <f t="shared" si="139"/>
        <v>0</v>
      </c>
      <c r="AM21" s="12">
        <f t="shared" si="140"/>
        <v>0</v>
      </c>
    </row>
    <row r="22" spans="2:39">
      <c r="B22" s="12"/>
      <c r="C22" s="96" t="s">
        <v>213</v>
      </c>
      <c r="D22" s="12">
        <v>0</v>
      </c>
      <c r="E22" s="12">
        <f t="shared" si="106"/>
        <v>0</v>
      </c>
      <c r="F22" s="12">
        <f t="shared" si="107"/>
        <v>0</v>
      </c>
      <c r="G22" s="12">
        <f t="shared" si="108"/>
        <v>0</v>
      </c>
      <c r="H22" s="12">
        <f t="shared" si="109"/>
        <v>0</v>
      </c>
      <c r="I22" s="12">
        <f t="shared" si="110"/>
        <v>0</v>
      </c>
      <c r="J22" s="12">
        <f t="shared" si="111"/>
        <v>0</v>
      </c>
      <c r="K22" s="12">
        <f t="shared" si="112"/>
        <v>0</v>
      </c>
      <c r="L22" s="12">
        <f t="shared" si="113"/>
        <v>0</v>
      </c>
      <c r="M22" s="12">
        <f t="shared" si="114"/>
        <v>0</v>
      </c>
      <c r="N22" s="12">
        <f t="shared" si="115"/>
        <v>0</v>
      </c>
      <c r="O22" s="12">
        <f t="shared" si="116"/>
        <v>0</v>
      </c>
      <c r="P22" s="12">
        <f t="shared" si="117"/>
        <v>0</v>
      </c>
      <c r="Q22" s="12">
        <f t="shared" si="118"/>
        <v>0</v>
      </c>
      <c r="R22" s="12">
        <f t="shared" si="119"/>
        <v>0</v>
      </c>
      <c r="S22" s="12">
        <f t="shared" si="120"/>
        <v>0</v>
      </c>
      <c r="T22" s="12">
        <f t="shared" si="121"/>
        <v>0</v>
      </c>
      <c r="U22" s="12">
        <f t="shared" si="122"/>
        <v>0</v>
      </c>
      <c r="V22" s="12">
        <f t="shared" si="123"/>
        <v>0</v>
      </c>
      <c r="W22" s="12">
        <f t="shared" si="124"/>
        <v>0</v>
      </c>
      <c r="X22" s="12">
        <f t="shared" si="125"/>
        <v>0</v>
      </c>
      <c r="Y22" s="12">
        <f t="shared" si="126"/>
        <v>0</v>
      </c>
      <c r="Z22" s="12">
        <f t="shared" si="127"/>
        <v>0</v>
      </c>
      <c r="AA22" s="12">
        <f t="shared" si="128"/>
        <v>0</v>
      </c>
      <c r="AB22" s="12">
        <f t="shared" si="129"/>
        <v>0</v>
      </c>
      <c r="AC22" s="12">
        <f t="shared" si="130"/>
        <v>0</v>
      </c>
      <c r="AD22" s="12">
        <f t="shared" si="131"/>
        <v>0</v>
      </c>
      <c r="AE22" s="12">
        <f t="shared" si="132"/>
        <v>0</v>
      </c>
      <c r="AF22" s="12">
        <f t="shared" si="133"/>
        <v>0</v>
      </c>
      <c r="AG22" s="12">
        <f t="shared" si="134"/>
        <v>0</v>
      </c>
      <c r="AH22" s="12">
        <f t="shared" si="135"/>
        <v>0</v>
      </c>
      <c r="AI22" s="12">
        <f t="shared" si="136"/>
        <v>0</v>
      </c>
      <c r="AJ22" s="12">
        <f t="shared" si="137"/>
        <v>0</v>
      </c>
      <c r="AK22" s="12">
        <f t="shared" si="138"/>
        <v>0</v>
      </c>
      <c r="AL22" s="12">
        <f t="shared" si="139"/>
        <v>0</v>
      </c>
      <c r="AM22" s="12">
        <f t="shared" si="140"/>
        <v>0</v>
      </c>
    </row>
    <row r="23" spans="2:39">
      <c r="B23" s="12"/>
      <c r="C23" s="96" t="s">
        <v>213</v>
      </c>
      <c r="D23" s="12">
        <v>0</v>
      </c>
      <c r="E23" s="12">
        <f t="shared" si="106"/>
        <v>0</v>
      </c>
      <c r="F23" s="12">
        <f t="shared" si="107"/>
        <v>0</v>
      </c>
      <c r="G23" s="12">
        <f t="shared" si="108"/>
        <v>0</v>
      </c>
      <c r="H23" s="12">
        <f t="shared" si="109"/>
        <v>0</v>
      </c>
      <c r="I23" s="12">
        <f t="shared" si="110"/>
        <v>0</v>
      </c>
      <c r="J23" s="12">
        <f t="shared" si="111"/>
        <v>0</v>
      </c>
      <c r="K23" s="12">
        <f t="shared" si="112"/>
        <v>0</v>
      </c>
      <c r="L23" s="12">
        <f t="shared" si="113"/>
        <v>0</v>
      </c>
      <c r="M23" s="12">
        <f t="shared" si="114"/>
        <v>0</v>
      </c>
      <c r="N23" s="12">
        <f t="shared" si="115"/>
        <v>0</v>
      </c>
      <c r="O23" s="12">
        <f t="shared" si="116"/>
        <v>0</v>
      </c>
      <c r="P23" s="12">
        <f t="shared" si="117"/>
        <v>0</v>
      </c>
      <c r="Q23" s="12">
        <f t="shared" si="118"/>
        <v>0</v>
      </c>
      <c r="R23" s="12">
        <f t="shared" si="119"/>
        <v>0</v>
      </c>
      <c r="S23" s="12">
        <f t="shared" si="120"/>
        <v>0</v>
      </c>
      <c r="T23" s="12">
        <f t="shared" si="121"/>
        <v>0</v>
      </c>
      <c r="U23" s="12">
        <f t="shared" si="122"/>
        <v>0</v>
      </c>
      <c r="V23" s="12">
        <f t="shared" si="123"/>
        <v>0</v>
      </c>
      <c r="W23" s="12">
        <f t="shared" si="124"/>
        <v>0</v>
      </c>
      <c r="X23" s="12">
        <f t="shared" si="125"/>
        <v>0</v>
      </c>
      <c r="Y23" s="12">
        <f t="shared" si="126"/>
        <v>0</v>
      </c>
      <c r="Z23" s="12">
        <f t="shared" si="127"/>
        <v>0</v>
      </c>
      <c r="AA23" s="12">
        <f t="shared" si="128"/>
        <v>0</v>
      </c>
      <c r="AB23" s="12">
        <f t="shared" si="129"/>
        <v>0</v>
      </c>
      <c r="AC23" s="12">
        <f t="shared" si="130"/>
        <v>0</v>
      </c>
      <c r="AD23" s="12">
        <f t="shared" si="131"/>
        <v>0</v>
      </c>
      <c r="AE23" s="12">
        <f t="shared" si="132"/>
        <v>0</v>
      </c>
      <c r="AF23" s="12">
        <f t="shared" si="133"/>
        <v>0</v>
      </c>
      <c r="AG23" s="12">
        <f t="shared" si="134"/>
        <v>0</v>
      </c>
      <c r="AH23" s="12">
        <f t="shared" si="135"/>
        <v>0</v>
      </c>
      <c r="AI23" s="12">
        <f t="shared" si="136"/>
        <v>0</v>
      </c>
      <c r="AJ23" s="12">
        <f t="shared" si="137"/>
        <v>0</v>
      </c>
      <c r="AK23" s="12">
        <f t="shared" si="138"/>
        <v>0</v>
      </c>
      <c r="AL23" s="12">
        <f t="shared" si="139"/>
        <v>0</v>
      </c>
      <c r="AM23" s="12">
        <f t="shared" si="140"/>
        <v>0</v>
      </c>
    </row>
    <row r="24" spans="2:39" hidden="1" outlineLevel="1">
      <c r="B24" s="12"/>
      <c r="C24" s="96" t="s">
        <v>213</v>
      </c>
      <c r="D24" s="12">
        <v>0</v>
      </c>
      <c r="E24" s="12">
        <f t="shared" ref="E24:E31" si="141">+D24</f>
        <v>0</v>
      </c>
      <c r="F24" s="12">
        <f t="shared" ref="F24:AM28" si="142">+E24</f>
        <v>0</v>
      </c>
      <c r="G24" s="12">
        <f t="shared" si="142"/>
        <v>0</v>
      </c>
      <c r="H24" s="12">
        <f t="shared" si="142"/>
        <v>0</v>
      </c>
      <c r="I24" s="12">
        <f t="shared" si="142"/>
        <v>0</v>
      </c>
      <c r="J24" s="12">
        <f t="shared" si="142"/>
        <v>0</v>
      </c>
      <c r="K24" s="12">
        <f t="shared" si="142"/>
        <v>0</v>
      </c>
      <c r="L24" s="12">
        <f t="shared" si="142"/>
        <v>0</v>
      </c>
      <c r="M24" s="12">
        <f t="shared" si="142"/>
        <v>0</v>
      </c>
      <c r="N24" s="12">
        <f t="shared" si="142"/>
        <v>0</v>
      </c>
      <c r="O24" s="12">
        <f t="shared" si="142"/>
        <v>0</v>
      </c>
      <c r="P24" s="12">
        <f t="shared" si="142"/>
        <v>0</v>
      </c>
      <c r="Q24" s="12">
        <f t="shared" si="142"/>
        <v>0</v>
      </c>
      <c r="R24" s="12">
        <f t="shared" si="142"/>
        <v>0</v>
      </c>
      <c r="S24" s="12">
        <f t="shared" si="142"/>
        <v>0</v>
      </c>
      <c r="T24" s="12">
        <f t="shared" si="142"/>
        <v>0</v>
      </c>
      <c r="U24" s="12">
        <f t="shared" si="142"/>
        <v>0</v>
      </c>
      <c r="V24" s="12">
        <f t="shared" si="142"/>
        <v>0</v>
      </c>
      <c r="W24" s="12">
        <f t="shared" si="142"/>
        <v>0</v>
      </c>
      <c r="X24" s="12">
        <f t="shared" si="142"/>
        <v>0</v>
      </c>
      <c r="Y24" s="12">
        <f t="shared" si="142"/>
        <v>0</v>
      </c>
      <c r="Z24" s="12">
        <f t="shared" si="142"/>
        <v>0</v>
      </c>
      <c r="AA24" s="12">
        <f t="shared" si="142"/>
        <v>0</v>
      </c>
      <c r="AB24" s="12">
        <f t="shared" si="142"/>
        <v>0</v>
      </c>
      <c r="AC24" s="12">
        <f t="shared" si="142"/>
        <v>0</v>
      </c>
      <c r="AD24" s="12">
        <f t="shared" si="142"/>
        <v>0</v>
      </c>
      <c r="AE24" s="12">
        <f t="shared" si="142"/>
        <v>0</v>
      </c>
      <c r="AF24" s="12">
        <f t="shared" si="142"/>
        <v>0</v>
      </c>
      <c r="AG24" s="12">
        <f t="shared" si="142"/>
        <v>0</v>
      </c>
      <c r="AH24" s="12">
        <f t="shared" si="142"/>
        <v>0</v>
      </c>
      <c r="AI24" s="12">
        <f t="shared" si="142"/>
        <v>0</v>
      </c>
      <c r="AJ24" s="12">
        <f t="shared" si="142"/>
        <v>0</v>
      </c>
      <c r="AK24" s="12">
        <f t="shared" si="142"/>
        <v>0</v>
      </c>
      <c r="AL24" s="12">
        <f t="shared" si="142"/>
        <v>0</v>
      </c>
      <c r="AM24" s="12">
        <f t="shared" si="142"/>
        <v>0</v>
      </c>
    </row>
    <row r="25" spans="2:39" hidden="1" outlineLevel="1">
      <c r="B25" s="12"/>
      <c r="C25" s="96" t="s">
        <v>213</v>
      </c>
      <c r="D25" s="12">
        <v>0</v>
      </c>
      <c r="E25" s="12">
        <f t="shared" si="141"/>
        <v>0</v>
      </c>
      <c r="F25" s="12">
        <f t="shared" si="142"/>
        <v>0</v>
      </c>
      <c r="G25" s="12">
        <f t="shared" si="142"/>
        <v>0</v>
      </c>
      <c r="H25" s="12">
        <f t="shared" si="142"/>
        <v>0</v>
      </c>
      <c r="I25" s="12">
        <f t="shared" si="142"/>
        <v>0</v>
      </c>
      <c r="J25" s="12">
        <f t="shared" si="142"/>
        <v>0</v>
      </c>
      <c r="K25" s="12">
        <f t="shared" si="142"/>
        <v>0</v>
      </c>
      <c r="L25" s="12">
        <f t="shared" si="142"/>
        <v>0</v>
      </c>
      <c r="M25" s="12">
        <f t="shared" si="142"/>
        <v>0</v>
      </c>
      <c r="N25" s="12">
        <f t="shared" si="142"/>
        <v>0</v>
      </c>
      <c r="O25" s="12">
        <f t="shared" si="142"/>
        <v>0</v>
      </c>
      <c r="P25" s="12">
        <f t="shared" si="142"/>
        <v>0</v>
      </c>
      <c r="Q25" s="12">
        <f t="shared" si="142"/>
        <v>0</v>
      </c>
      <c r="R25" s="12">
        <f t="shared" si="142"/>
        <v>0</v>
      </c>
      <c r="S25" s="12">
        <f t="shared" si="142"/>
        <v>0</v>
      </c>
      <c r="T25" s="12">
        <f t="shared" si="142"/>
        <v>0</v>
      </c>
      <c r="U25" s="12">
        <f t="shared" si="142"/>
        <v>0</v>
      </c>
      <c r="V25" s="12">
        <f t="shared" si="142"/>
        <v>0</v>
      </c>
      <c r="W25" s="12">
        <f t="shared" si="142"/>
        <v>0</v>
      </c>
      <c r="X25" s="12">
        <f t="shared" si="142"/>
        <v>0</v>
      </c>
      <c r="Y25" s="12">
        <f t="shared" si="142"/>
        <v>0</v>
      </c>
      <c r="Z25" s="12">
        <f t="shared" si="142"/>
        <v>0</v>
      </c>
      <c r="AA25" s="12">
        <f t="shared" si="142"/>
        <v>0</v>
      </c>
      <c r="AB25" s="12">
        <f t="shared" si="142"/>
        <v>0</v>
      </c>
      <c r="AC25" s="12">
        <f t="shared" si="142"/>
        <v>0</v>
      </c>
      <c r="AD25" s="12">
        <f t="shared" si="142"/>
        <v>0</v>
      </c>
      <c r="AE25" s="12">
        <f t="shared" si="142"/>
        <v>0</v>
      </c>
      <c r="AF25" s="12">
        <f t="shared" si="142"/>
        <v>0</v>
      </c>
      <c r="AG25" s="12">
        <f t="shared" si="142"/>
        <v>0</v>
      </c>
      <c r="AH25" s="12">
        <f t="shared" si="142"/>
        <v>0</v>
      </c>
      <c r="AI25" s="12">
        <f t="shared" si="142"/>
        <v>0</v>
      </c>
      <c r="AJ25" s="12">
        <f t="shared" si="142"/>
        <v>0</v>
      </c>
      <c r="AK25" s="12">
        <f t="shared" si="142"/>
        <v>0</v>
      </c>
      <c r="AL25" s="12">
        <f t="shared" si="142"/>
        <v>0</v>
      </c>
      <c r="AM25" s="12">
        <f t="shared" si="142"/>
        <v>0</v>
      </c>
    </row>
    <row r="26" spans="2:39" hidden="1" outlineLevel="1">
      <c r="B26" s="12"/>
      <c r="C26" s="96" t="s">
        <v>213</v>
      </c>
      <c r="D26" s="12">
        <v>0</v>
      </c>
      <c r="E26" s="12">
        <f t="shared" si="141"/>
        <v>0</v>
      </c>
      <c r="F26" s="12">
        <f t="shared" si="142"/>
        <v>0</v>
      </c>
      <c r="G26" s="12">
        <f t="shared" si="142"/>
        <v>0</v>
      </c>
      <c r="H26" s="12">
        <f t="shared" si="142"/>
        <v>0</v>
      </c>
      <c r="I26" s="12">
        <f t="shared" si="142"/>
        <v>0</v>
      </c>
      <c r="J26" s="12">
        <f t="shared" si="142"/>
        <v>0</v>
      </c>
      <c r="K26" s="12">
        <f t="shared" si="142"/>
        <v>0</v>
      </c>
      <c r="L26" s="12">
        <f t="shared" si="142"/>
        <v>0</v>
      </c>
      <c r="M26" s="12">
        <f t="shared" si="142"/>
        <v>0</v>
      </c>
      <c r="N26" s="12">
        <f t="shared" si="142"/>
        <v>0</v>
      </c>
      <c r="O26" s="12">
        <f t="shared" si="142"/>
        <v>0</v>
      </c>
      <c r="P26" s="12">
        <f t="shared" si="142"/>
        <v>0</v>
      </c>
      <c r="Q26" s="12">
        <f t="shared" si="142"/>
        <v>0</v>
      </c>
      <c r="R26" s="12">
        <f t="shared" si="142"/>
        <v>0</v>
      </c>
      <c r="S26" s="12">
        <f t="shared" si="142"/>
        <v>0</v>
      </c>
      <c r="T26" s="12">
        <f t="shared" si="142"/>
        <v>0</v>
      </c>
      <c r="U26" s="12">
        <f t="shared" si="142"/>
        <v>0</v>
      </c>
      <c r="V26" s="12">
        <f t="shared" si="142"/>
        <v>0</v>
      </c>
      <c r="W26" s="12">
        <f t="shared" si="142"/>
        <v>0</v>
      </c>
      <c r="X26" s="12">
        <f t="shared" si="142"/>
        <v>0</v>
      </c>
      <c r="Y26" s="12">
        <f t="shared" si="142"/>
        <v>0</v>
      </c>
      <c r="Z26" s="12">
        <f t="shared" si="142"/>
        <v>0</v>
      </c>
      <c r="AA26" s="12">
        <f t="shared" si="142"/>
        <v>0</v>
      </c>
      <c r="AB26" s="12">
        <f t="shared" si="142"/>
        <v>0</v>
      </c>
      <c r="AC26" s="12">
        <f t="shared" si="142"/>
        <v>0</v>
      </c>
      <c r="AD26" s="12">
        <f t="shared" si="142"/>
        <v>0</v>
      </c>
      <c r="AE26" s="12">
        <f t="shared" si="142"/>
        <v>0</v>
      </c>
      <c r="AF26" s="12">
        <f t="shared" si="142"/>
        <v>0</v>
      </c>
      <c r="AG26" s="12">
        <f t="shared" si="142"/>
        <v>0</v>
      </c>
      <c r="AH26" s="12">
        <f t="shared" si="142"/>
        <v>0</v>
      </c>
      <c r="AI26" s="12">
        <f t="shared" si="142"/>
        <v>0</v>
      </c>
      <c r="AJ26" s="12">
        <f t="shared" si="142"/>
        <v>0</v>
      </c>
      <c r="AK26" s="12">
        <f t="shared" si="142"/>
        <v>0</v>
      </c>
      <c r="AL26" s="12">
        <f t="shared" si="142"/>
        <v>0</v>
      </c>
      <c r="AM26" s="12">
        <f t="shared" si="142"/>
        <v>0</v>
      </c>
    </row>
    <row r="27" spans="2:39" hidden="1" outlineLevel="1">
      <c r="B27" s="12"/>
      <c r="C27" s="96" t="s">
        <v>213</v>
      </c>
      <c r="D27" s="12">
        <v>0</v>
      </c>
      <c r="E27" s="12">
        <f t="shared" si="141"/>
        <v>0</v>
      </c>
      <c r="F27" s="12">
        <f t="shared" si="142"/>
        <v>0</v>
      </c>
      <c r="G27" s="12">
        <f t="shared" si="142"/>
        <v>0</v>
      </c>
      <c r="H27" s="12">
        <f t="shared" si="142"/>
        <v>0</v>
      </c>
      <c r="I27" s="12">
        <f t="shared" si="142"/>
        <v>0</v>
      </c>
      <c r="J27" s="12">
        <f t="shared" si="142"/>
        <v>0</v>
      </c>
      <c r="K27" s="12">
        <f t="shared" si="142"/>
        <v>0</v>
      </c>
      <c r="L27" s="12">
        <f t="shared" si="142"/>
        <v>0</v>
      </c>
      <c r="M27" s="12">
        <f t="shared" si="142"/>
        <v>0</v>
      </c>
      <c r="N27" s="12">
        <f t="shared" si="142"/>
        <v>0</v>
      </c>
      <c r="O27" s="12">
        <f t="shared" si="142"/>
        <v>0</v>
      </c>
      <c r="P27" s="12">
        <f t="shared" si="142"/>
        <v>0</v>
      </c>
      <c r="Q27" s="12">
        <f t="shared" si="142"/>
        <v>0</v>
      </c>
      <c r="R27" s="12">
        <f t="shared" si="142"/>
        <v>0</v>
      </c>
      <c r="S27" s="12">
        <f t="shared" si="142"/>
        <v>0</v>
      </c>
      <c r="T27" s="12">
        <f t="shared" si="142"/>
        <v>0</v>
      </c>
      <c r="U27" s="12">
        <f t="shared" si="142"/>
        <v>0</v>
      </c>
      <c r="V27" s="12">
        <f t="shared" si="142"/>
        <v>0</v>
      </c>
      <c r="W27" s="12">
        <f t="shared" si="142"/>
        <v>0</v>
      </c>
      <c r="X27" s="12">
        <f t="shared" si="142"/>
        <v>0</v>
      </c>
      <c r="Y27" s="12">
        <f t="shared" si="142"/>
        <v>0</v>
      </c>
      <c r="Z27" s="12">
        <f t="shared" si="142"/>
        <v>0</v>
      </c>
      <c r="AA27" s="12">
        <f t="shared" si="142"/>
        <v>0</v>
      </c>
      <c r="AB27" s="12">
        <f t="shared" si="142"/>
        <v>0</v>
      </c>
      <c r="AC27" s="12">
        <f t="shared" si="142"/>
        <v>0</v>
      </c>
      <c r="AD27" s="12">
        <f t="shared" si="142"/>
        <v>0</v>
      </c>
      <c r="AE27" s="12">
        <f t="shared" si="142"/>
        <v>0</v>
      </c>
      <c r="AF27" s="12">
        <f t="shared" si="142"/>
        <v>0</v>
      </c>
      <c r="AG27" s="12">
        <f t="shared" si="142"/>
        <v>0</v>
      </c>
      <c r="AH27" s="12">
        <f t="shared" si="142"/>
        <v>0</v>
      </c>
      <c r="AI27" s="12">
        <f t="shared" si="142"/>
        <v>0</v>
      </c>
      <c r="AJ27" s="12">
        <f t="shared" si="142"/>
        <v>0</v>
      </c>
      <c r="AK27" s="12">
        <f t="shared" si="142"/>
        <v>0</v>
      </c>
      <c r="AL27" s="12">
        <f t="shared" si="142"/>
        <v>0</v>
      </c>
      <c r="AM27" s="12">
        <f t="shared" si="142"/>
        <v>0</v>
      </c>
    </row>
    <row r="28" spans="2:39" hidden="1" outlineLevel="1">
      <c r="B28" s="12"/>
      <c r="C28" s="96" t="s">
        <v>213</v>
      </c>
      <c r="D28" s="12">
        <v>0</v>
      </c>
      <c r="E28" s="12">
        <f t="shared" si="141"/>
        <v>0</v>
      </c>
      <c r="F28" s="12">
        <f t="shared" si="142"/>
        <v>0</v>
      </c>
      <c r="G28" s="12">
        <f t="shared" si="142"/>
        <v>0</v>
      </c>
      <c r="H28" s="12">
        <f t="shared" si="142"/>
        <v>0</v>
      </c>
      <c r="I28" s="12">
        <f t="shared" si="142"/>
        <v>0</v>
      </c>
      <c r="J28" s="12">
        <f t="shared" si="142"/>
        <v>0</v>
      </c>
      <c r="K28" s="12">
        <f t="shared" si="142"/>
        <v>0</v>
      </c>
      <c r="L28" s="12">
        <f t="shared" si="142"/>
        <v>0</v>
      </c>
      <c r="M28" s="12">
        <f t="shared" si="142"/>
        <v>0</v>
      </c>
      <c r="N28" s="12">
        <f t="shared" si="142"/>
        <v>0</v>
      </c>
      <c r="O28" s="12">
        <f t="shared" si="142"/>
        <v>0</v>
      </c>
      <c r="P28" s="12">
        <f t="shared" si="142"/>
        <v>0</v>
      </c>
      <c r="Q28" s="12">
        <f t="shared" si="142"/>
        <v>0</v>
      </c>
      <c r="R28" s="12">
        <f t="shared" si="142"/>
        <v>0</v>
      </c>
      <c r="S28" s="12">
        <f t="shared" si="142"/>
        <v>0</v>
      </c>
      <c r="T28" s="12">
        <f t="shared" si="142"/>
        <v>0</v>
      </c>
      <c r="U28" s="12">
        <f t="shared" ref="F28:AM31" si="143">+T28</f>
        <v>0</v>
      </c>
      <c r="V28" s="12">
        <f t="shared" si="143"/>
        <v>0</v>
      </c>
      <c r="W28" s="12">
        <f t="shared" si="143"/>
        <v>0</v>
      </c>
      <c r="X28" s="12">
        <f t="shared" si="143"/>
        <v>0</v>
      </c>
      <c r="Y28" s="12">
        <f t="shared" si="143"/>
        <v>0</v>
      </c>
      <c r="Z28" s="12">
        <f t="shared" si="143"/>
        <v>0</v>
      </c>
      <c r="AA28" s="12">
        <f t="shared" si="143"/>
        <v>0</v>
      </c>
      <c r="AB28" s="12">
        <f t="shared" si="143"/>
        <v>0</v>
      </c>
      <c r="AC28" s="12">
        <f t="shared" si="143"/>
        <v>0</v>
      </c>
      <c r="AD28" s="12">
        <f t="shared" si="143"/>
        <v>0</v>
      </c>
      <c r="AE28" s="12">
        <f t="shared" si="143"/>
        <v>0</v>
      </c>
      <c r="AF28" s="12">
        <f t="shared" si="143"/>
        <v>0</v>
      </c>
      <c r="AG28" s="12">
        <f t="shared" si="143"/>
        <v>0</v>
      </c>
      <c r="AH28" s="12">
        <f t="shared" si="143"/>
        <v>0</v>
      </c>
      <c r="AI28" s="12">
        <f t="shared" si="143"/>
        <v>0</v>
      </c>
      <c r="AJ28" s="12">
        <f t="shared" si="143"/>
        <v>0</v>
      </c>
      <c r="AK28" s="12">
        <f t="shared" si="143"/>
        <v>0</v>
      </c>
      <c r="AL28" s="12">
        <f t="shared" si="143"/>
        <v>0</v>
      </c>
      <c r="AM28" s="12">
        <f t="shared" si="143"/>
        <v>0</v>
      </c>
    </row>
    <row r="29" spans="2:39" hidden="1" outlineLevel="1">
      <c r="B29" s="12"/>
      <c r="C29" s="96" t="s">
        <v>213</v>
      </c>
      <c r="D29" s="12">
        <v>0</v>
      </c>
      <c r="E29" s="12">
        <f t="shared" si="141"/>
        <v>0</v>
      </c>
      <c r="F29" s="12">
        <f t="shared" si="143"/>
        <v>0</v>
      </c>
      <c r="G29" s="12">
        <f t="shared" si="143"/>
        <v>0</v>
      </c>
      <c r="H29" s="12">
        <f t="shared" si="143"/>
        <v>0</v>
      </c>
      <c r="I29" s="12">
        <f t="shared" si="143"/>
        <v>0</v>
      </c>
      <c r="J29" s="12">
        <f t="shared" si="143"/>
        <v>0</v>
      </c>
      <c r="K29" s="12">
        <f t="shared" si="143"/>
        <v>0</v>
      </c>
      <c r="L29" s="12">
        <f t="shared" si="143"/>
        <v>0</v>
      </c>
      <c r="M29" s="12">
        <f t="shared" si="143"/>
        <v>0</v>
      </c>
      <c r="N29" s="12">
        <f t="shared" si="143"/>
        <v>0</v>
      </c>
      <c r="O29" s="12">
        <f t="shared" si="143"/>
        <v>0</v>
      </c>
      <c r="P29" s="12">
        <f t="shared" si="143"/>
        <v>0</v>
      </c>
      <c r="Q29" s="12">
        <f t="shared" si="143"/>
        <v>0</v>
      </c>
      <c r="R29" s="12">
        <f t="shared" si="143"/>
        <v>0</v>
      </c>
      <c r="S29" s="12">
        <f t="shared" si="143"/>
        <v>0</v>
      </c>
      <c r="T29" s="12">
        <f t="shared" si="143"/>
        <v>0</v>
      </c>
      <c r="U29" s="12">
        <f t="shared" si="143"/>
        <v>0</v>
      </c>
      <c r="V29" s="12">
        <f t="shared" si="143"/>
        <v>0</v>
      </c>
      <c r="W29" s="12">
        <f t="shared" si="143"/>
        <v>0</v>
      </c>
      <c r="X29" s="12">
        <f t="shared" si="143"/>
        <v>0</v>
      </c>
      <c r="Y29" s="12">
        <f t="shared" si="143"/>
        <v>0</v>
      </c>
      <c r="Z29" s="12">
        <f t="shared" si="143"/>
        <v>0</v>
      </c>
      <c r="AA29" s="12">
        <f t="shared" si="143"/>
        <v>0</v>
      </c>
      <c r="AB29" s="12">
        <f t="shared" si="143"/>
        <v>0</v>
      </c>
      <c r="AC29" s="12">
        <f t="shared" si="143"/>
        <v>0</v>
      </c>
      <c r="AD29" s="12">
        <f t="shared" si="143"/>
        <v>0</v>
      </c>
      <c r="AE29" s="12">
        <f t="shared" si="143"/>
        <v>0</v>
      </c>
      <c r="AF29" s="12">
        <f t="shared" si="143"/>
        <v>0</v>
      </c>
      <c r="AG29" s="12">
        <f t="shared" si="143"/>
        <v>0</v>
      </c>
      <c r="AH29" s="12">
        <f t="shared" si="143"/>
        <v>0</v>
      </c>
      <c r="AI29" s="12">
        <f t="shared" si="143"/>
        <v>0</v>
      </c>
      <c r="AJ29" s="12">
        <f t="shared" si="143"/>
        <v>0</v>
      </c>
      <c r="AK29" s="12">
        <f t="shared" si="143"/>
        <v>0</v>
      </c>
      <c r="AL29" s="12">
        <f t="shared" si="143"/>
        <v>0</v>
      </c>
      <c r="AM29" s="12">
        <f t="shared" si="143"/>
        <v>0</v>
      </c>
    </row>
    <row r="30" spans="2:39" hidden="1" outlineLevel="1">
      <c r="B30" s="12"/>
      <c r="C30" s="96" t="s">
        <v>213</v>
      </c>
      <c r="D30" s="12">
        <v>0</v>
      </c>
      <c r="E30" s="12">
        <f t="shared" si="141"/>
        <v>0</v>
      </c>
      <c r="F30" s="12">
        <f t="shared" si="143"/>
        <v>0</v>
      </c>
      <c r="G30" s="12">
        <f t="shared" si="143"/>
        <v>0</v>
      </c>
      <c r="H30" s="12">
        <f t="shared" si="143"/>
        <v>0</v>
      </c>
      <c r="I30" s="12">
        <f t="shared" si="143"/>
        <v>0</v>
      </c>
      <c r="J30" s="12">
        <f t="shared" si="143"/>
        <v>0</v>
      </c>
      <c r="K30" s="12">
        <f t="shared" si="143"/>
        <v>0</v>
      </c>
      <c r="L30" s="12">
        <f t="shared" si="143"/>
        <v>0</v>
      </c>
      <c r="M30" s="12">
        <f t="shared" si="143"/>
        <v>0</v>
      </c>
      <c r="N30" s="12">
        <f t="shared" si="143"/>
        <v>0</v>
      </c>
      <c r="O30" s="12">
        <f t="shared" si="143"/>
        <v>0</v>
      </c>
      <c r="P30" s="12">
        <f t="shared" si="143"/>
        <v>0</v>
      </c>
      <c r="Q30" s="12">
        <f t="shared" si="143"/>
        <v>0</v>
      </c>
      <c r="R30" s="12">
        <f t="shared" si="143"/>
        <v>0</v>
      </c>
      <c r="S30" s="12">
        <f t="shared" si="143"/>
        <v>0</v>
      </c>
      <c r="T30" s="12">
        <f t="shared" si="143"/>
        <v>0</v>
      </c>
      <c r="U30" s="12">
        <f t="shared" si="143"/>
        <v>0</v>
      </c>
      <c r="V30" s="12">
        <f t="shared" si="143"/>
        <v>0</v>
      </c>
      <c r="W30" s="12">
        <f t="shared" si="143"/>
        <v>0</v>
      </c>
      <c r="X30" s="12">
        <f t="shared" si="143"/>
        <v>0</v>
      </c>
      <c r="Y30" s="12">
        <f t="shared" si="143"/>
        <v>0</v>
      </c>
      <c r="Z30" s="12">
        <f t="shared" si="143"/>
        <v>0</v>
      </c>
      <c r="AA30" s="12">
        <f t="shared" si="143"/>
        <v>0</v>
      </c>
      <c r="AB30" s="12">
        <f t="shared" si="143"/>
        <v>0</v>
      </c>
      <c r="AC30" s="12">
        <f t="shared" si="143"/>
        <v>0</v>
      </c>
      <c r="AD30" s="12">
        <f t="shared" si="143"/>
        <v>0</v>
      </c>
      <c r="AE30" s="12">
        <f t="shared" si="143"/>
        <v>0</v>
      </c>
      <c r="AF30" s="12">
        <f t="shared" si="143"/>
        <v>0</v>
      </c>
      <c r="AG30" s="12">
        <f t="shared" si="143"/>
        <v>0</v>
      </c>
      <c r="AH30" s="12">
        <f t="shared" si="143"/>
        <v>0</v>
      </c>
      <c r="AI30" s="12">
        <f t="shared" si="143"/>
        <v>0</v>
      </c>
      <c r="AJ30" s="12">
        <f t="shared" si="143"/>
        <v>0</v>
      </c>
      <c r="AK30" s="12">
        <f t="shared" si="143"/>
        <v>0</v>
      </c>
      <c r="AL30" s="12">
        <f t="shared" si="143"/>
        <v>0</v>
      </c>
      <c r="AM30" s="12">
        <f t="shared" si="143"/>
        <v>0</v>
      </c>
    </row>
    <row r="31" spans="2:39" hidden="1" outlineLevel="1">
      <c r="B31" s="12"/>
      <c r="C31" s="96" t="s">
        <v>213</v>
      </c>
      <c r="D31" s="12">
        <v>0</v>
      </c>
      <c r="E31" s="12">
        <f t="shared" si="141"/>
        <v>0</v>
      </c>
      <c r="F31" s="12">
        <f t="shared" si="143"/>
        <v>0</v>
      </c>
      <c r="G31" s="12">
        <f t="shared" si="143"/>
        <v>0</v>
      </c>
      <c r="H31" s="12">
        <f t="shared" si="143"/>
        <v>0</v>
      </c>
      <c r="I31" s="12">
        <f t="shared" si="143"/>
        <v>0</v>
      </c>
      <c r="J31" s="12">
        <f t="shared" si="143"/>
        <v>0</v>
      </c>
      <c r="K31" s="12">
        <f t="shared" si="143"/>
        <v>0</v>
      </c>
      <c r="L31" s="12">
        <f t="shared" si="143"/>
        <v>0</v>
      </c>
      <c r="M31" s="12">
        <f t="shared" si="143"/>
        <v>0</v>
      </c>
      <c r="N31" s="12">
        <f t="shared" si="143"/>
        <v>0</v>
      </c>
      <c r="O31" s="12">
        <f t="shared" si="143"/>
        <v>0</v>
      </c>
      <c r="P31" s="12">
        <f t="shared" si="143"/>
        <v>0</v>
      </c>
      <c r="Q31" s="12">
        <f t="shared" si="143"/>
        <v>0</v>
      </c>
      <c r="R31" s="12">
        <f t="shared" si="143"/>
        <v>0</v>
      </c>
      <c r="S31" s="12">
        <f t="shared" si="143"/>
        <v>0</v>
      </c>
      <c r="T31" s="12">
        <f t="shared" si="143"/>
        <v>0</v>
      </c>
      <c r="U31" s="12">
        <f t="shared" si="143"/>
        <v>0</v>
      </c>
      <c r="V31" s="12">
        <f t="shared" si="143"/>
        <v>0</v>
      </c>
      <c r="W31" s="12">
        <f t="shared" si="143"/>
        <v>0</v>
      </c>
      <c r="X31" s="12">
        <f t="shared" si="143"/>
        <v>0</v>
      </c>
      <c r="Y31" s="12">
        <f t="shared" si="143"/>
        <v>0</v>
      </c>
      <c r="Z31" s="12">
        <f t="shared" si="143"/>
        <v>0</v>
      </c>
      <c r="AA31" s="12">
        <f t="shared" si="143"/>
        <v>0</v>
      </c>
      <c r="AB31" s="12">
        <f t="shared" si="143"/>
        <v>0</v>
      </c>
      <c r="AC31" s="12">
        <f t="shared" si="143"/>
        <v>0</v>
      </c>
      <c r="AD31" s="12">
        <f t="shared" si="143"/>
        <v>0</v>
      </c>
      <c r="AE31" s="12">
        <f t="shared" si="143"/>
        <v>0</v>
      </c>
      <c r="AF31" s="12">
        <f t="shared" si="143"/>
        <v>0</v>
      </c>
      <c r="AG31" s="12">
        <f t="shared" si="143"/>
        <v>0</v>
      </c>
      <c r="AH31" s="12">
        <f t="shared" si="143"/>
        <v>0</v>
      </c>
      <c r="AI31" s="12">
        <f t="shared" si="143"/>
        <v>0</v>
      </c>
      <c r="AJ31" s="12">
        <f t="shared" si="143"/>
        <v>0</v>
      </c>
      <c r="AK31" s="12">
        <f t="shared" si="143"/>
        <v>0</v>
      </c>
      <c r="AL31" s="12">
        <f t="shared" si="143"/>
        <v>0</v>
      </c>
      <c r="AM31" s="12">
        <f t="shared" si="143"/>
        <v>0</v>
      </c>
    </row>
    <row r="32" spans="2:39" collapsed="1">
      <c r="B32" s="353"/>
      <c r="D32" s="298">
        <f>SUM(D11:D23)</f>
        <v>0</v>
      </c>
      <c r="E32" s="298">
        <f t="shared" ref="E32:O32" si="144">SUM(E11:E23)</f>
        <v>0</v>
      </c>
      <c r="F32" s="298">
        <f t="shared" si="144"/>
        <v>0</v>
      </c>
      <c r="G32" s="298">
        <f t="shared" si="144"/>
        <v>0</v>
      </c>
      <c r="H32" s="298">
        <f t="shared" si="144"/>
        <v>0</v>
      </c>
      <c r="I32" s="298">
        <f t="shared" si="144"/>
        <v>0</v>
      </c>
      <c r="J32" s="298">
        <f t="shared" si="144"/>
        <v>0</v>
      </c>
      <c r="K32" s="298">
        <f t="shared" si="144"/>
        <v>0</v>
      </c>
      <c r="L32" s="298">
        <f t="shared" si="144"/>
        <v>0</v>
      </c>
      <c r="M32" s="298">
        <f t="shared" si="144"/>
        <v>0</v>
      </c>
      <c r="N32" s="298">
        <f t="shared" si="144"/>
        <v>0</v>
      </c>
      <c r="O32" s="298">
        <f t="shared" si="144"/>
        <v>0</v>
      </c>
      <c r="P32" s="298">
        <f>SUM(P11:P23)</f>
        <v>0</v>
      </c>
      <c r="Q32" s="298">
        <f t="shared" ref="Q32:AA32" si="145">SUM(Q11:Q23)</f>
        <v>0</v>
      </c>
      <c r="R32" s="298">
        <f t="shared" si="145"/>
        <v>0</v>
      </c>
      <c r="S32" s="298">
        <f t="shared" si="145"/>
        <v>0</v>
      </c>
      <c r="T32" s="298">
        <f t="shared" si="145"/>
        <v>0</v>
      </c>
      <c r="U32" s="298">
        <f t="shared" si="145"/>
        <v>0</v>
      </c>
      <c r="V32" s="298">
        <f t="shared" si="145"/>
        <v>0</v>
      </c>
      <c r="W32" s="298">
        <f t="shared" si="145"/>
        <v>0</v>
      </c>
      <c r="X32" s="298">
        <f t="shared" si="145"/>
        <v>0</v>
      </c>
      <c r="Y32" s="298">
        <f t="shared" si="145"/>
        <v>0</v>
      </c>
      <c r="Z32" s="298">
        <f t="shared" si="145"/>
        <v>0</v>
      </c>
      <c r="AA32" s="298">
        <f t="shared" si="145"/>
        <v>0</v>
      </c>
      <c r="AB32" s="298">
        <f>SUM(AB11:AB23)</f>
        <v>0</v>
      </c>
      <c r="AC32" s="298">
        <f t="shared" ref="AC32:AM32" si="146">SUM(AC11:AC23)</f>
        <v>0</v>
      </c>
      <c r="AD32" s="298">
        <f t="shared" si="146"/>
        <v>0</v>
      </c>
      <c r="AE32" s="298">
        <f t="shared" si="146"/>
        <v>0</v>
      </c>
      <c r="AF32" s="298">
        <f t="shared" si="146"/>
        <v>0</v>
      </c>
      <c r="AG32" s="298">
        <f t="shared" si="146"/>
        <v>0</v>
      </c>
      <c r="AH32" s="298">
        <f t="shared" si="146"/>
        <v>0</v>
      </c>
      <c r="AI32" s="298">
        <f t="shared" si="146"/>
        <v>0</v>
      </c>
      <c r="AJ32" s="298">
        <f t="shared" si="146"/>
        <v>0</v>
      </c>
      <c r="AK32" s="298">
        <f t="shared" si="146"/>
        <v>0</v>
      </c>
      <c r="AL32" s="298">
        <f t="shared" si="146"/>
        <v>0</v>
      </c>
      <c r="AM32" s="298">
        <f t="shared" si="146"/>
        <v>0</v>
      </c>
    </row>
    <row r="34" spans="2:39">
      <c r="B34" s="283" t="s">
        <v>133</v>
      </c>
      <c r="C34" s="345"/>
      <c r="D34" s="290">
        <f>+Cuestionario!$C$11</f>
        <v>44197</v>
      </c>
      <c r="E34" s="290">
        <f>EDATE(D34,1)</f>
        <v>44228</v>
      </c>
      <c r="F34" s="290">
        <f t="shared" ref="F34" si="147">EDATE(E34,1)</f>
        <v>44256</v>
      </c>
      <c r="G34" s="290">
        <f t="shared" ref="G34" si="148">EDATE(F34,1)</f>
        <v>44287</v>
      </c>
      <c r="H34" s="290">
        <f t="shared" ref="H34" si="149">EDATE(G34,1)</f>
        <v>44317</v>
      </c>
      <c r="I34" s="290">
        <f t="shared" ref="I34" si="150">EDATE(H34,1)</f>
        <v>44348</v>
      </c>
      <c r="J34" s="290">
        <f t="shared" ref="J34" si="151">EDATE(I34,1)</f>
        <v>44378</v>
      </c>
      <c r="K34" s="290">
        <f t="shared" ref="K34" si="152">EDATE(J34,1)</f>
        <v>44409</v>
      </c>
      <c r="L34" s="290">
        <f t="shared" ref="L34" si="153">EDATE(K34,1)</f>
        <v>44440</v>
      </c>
      <c r="M34" s="290">
        <f t="shared" ref="M34" si="154">EDATE(L34,1)</f>
        <v>44470</v>
      </c>
      <c r="N34" s="290">
        <f t="shared" ref="N34" si="155">EDATE(M34,1)</f>
        <v>44501</v>
      </c>
      <c r="O34" s="290">
        <f t="shared" ref="O34" si="156">EDATE(N34,1)</f>
        <v>44531</v>
      </c>
      <c r="P34" s="352">
        <f>+Cuestionario!$C$11</f>
        <v>44197</v>
      </c>
      <c r="Q34" s="352">
        <f>EDATE(P34,1)</f>
        <v>44228</v>
      </c>
      <c r="R34" s="352">
        <f t="shared" ref="R34" si="157">EDATE(Q34,1)</f>
        <v>44256</v>
      </c>
      <c r="S34" s="352">
        <f t="shared" ref="S34" si="158">EDATE(R34,1)</f>
        <v>44287</v>
      </c>
      <c r="T34" s="352">
        <f t="shared" ref="T34" si="159">EDATE(S34,1)</f>
        <v>44317</v>
      </c>
      <c r="U34" s="352">
        <f t="shared" ref="U34" si="160">EDATE(T34,1)</f>
        <v>44348</v>
      </c>
      <c r="V34" s="352">
        <f t="shared" ref="V34" si="161">EDATE(U34,1)</f>
        <v>44378</v>
      </c>
      <c r="W34" s="352">
        <f t="shared" ref="W34" si="162">EDATE(V34,1)</f>
        <v>44409</v>
      </c>
      <c r="X34" s="352">
        <f t="shared" ref="X34" si="163">EDATE(W34,1)</f>
        <v>44440</v>
      </c>
      <c r="Y34" s="352">
        <f t="shared" ref="Y34" si="164">EDATE(X34,1)</f>
        <v>44470</v>
      </c>
      <c r="Z34" s="352">
        <f t="shared" ref="Z34" si="165">EDATE(Y34,1)</f>
        <v>44501</v>
      </c>
      <c r="AA34" s="352">
        <f t="shared" ref="AA34" si="166">EDATE(Z34,1)</f>
        <v>44531</v>
      </c>
      <c r="AB34" s="290">
        <f>+Cuestionario!$C$11</f>
        <v>44197</v>
      </c>
      <c r="AC34" s="290">
        <f>EDATE(AB34,1)</f>
        <v>44228</v>
      </c>
      <c r="AD34" s="290">
        <f t="shared" ref="AD34" si="167">EDATE(AC34,1)</f>
        <v>44256</v>
      </c>
      <c r="AE34" s="290">
        <f t="shared" ref="AE34" si="168">EDATE(AD34,1)</f>
        <v>44287</v>
      </c>
      <c r="AF34" s="290">
        <f t="shared" ref="AF34" si="169">EDATE(AE34,1)</f>
        <v>44317</v>
      </c>
      <c r="AG34" s="290">
        <f t="shared" ref="AG34" si="170">EDATE(AF34,1)</f>
        <v>44348</v>
      </c>
      <c r="AH34" s="290">
        <f t="shared" ref="AH34" si="171">EDATE(AG34,1)</f>
        <v>44378</v>
      </c>
      <c r="AI34" s="290">
        <f t="shared" ref="AI34" si="172">EDATE(AH34,1)</f>
        <v>44409</v>
      </c>
      <c r="AJ34" s="290">
        <f t="shared" ref="AJ34" si="173">EDATE(AI34,1)</f>
        <v>44440</v>
      </c>
      <c r="AK34" s="290">
        <f t="shared" ref="AK34" si="174">EDATE(AJ34,1)</f>
        <v>44470</v>
      </c>
      <c r="AL34" s="290">
        <f t="shared" ref="AL34" si="175">EDATE(AK34,1)</f>
        <v>44501</v>
      </c>
      <c r="AM34" s="290">
        <f t="shared" ref="AM34" si="176">EDATE(AL34,1)</f>
        <v>44531</v>
      </c>
    </row>
    <row r="35" spans="2:39">
      <c r="B35" s="348"/>
      <c r="C35" s="349"/>
      <c r="D35" s="350">
        <f ca="1">+'AMORTIZACIÓN-BALANCE'!C45</f>
        <v>0</v>
      </c>
      <c r="E35" s="350">
        <f ca="1">+'AMORTIZACIÓN-BALANCE'!D45</f>
        <v>0</v>
      </c>
      <c r="F35" s="350">
        <f ca="1">+'AMORTIZACIÓN-BALANCE'!E45</f>
        <v>0</v>
      </c>
      <c r="G35" s="350">
        <f ca="1">+'AMORTIZACIÓN-BALANCE'!F45</f>
        <v>0</v>
      </c>
      <c r="H35" s="350">
        <f ca="1">+'AMORTIZACIÓN-BALANCE'!G45</f>
        <v>0</v>
      </c>
      <c r="I35" s="350">
        <f ca="1">+'AMORTIZACIÓN-BALANCE'!H45</f>
        <v>0</v>
      </c>
      <c r="J35" s="350">
        <f ca="1">+'AMORTIZACIÓN-BALANCE'!I45</f>
        <v>0</v>
      </c>
      <c r="K35" s="350">
        <f ca="1">+'AMORTIZACIÓN-BALANCE'!J45</f>
        <v>0</v>
      </c>
      <c r="L35" s="350">
        <f ca="1">+'AMORTIZACIÓN-BALANCE'!K45</f>
        <v>0</v>
      </c>
      <c r="M35" s="350">
        <f ca="1">+'AMORTIZACIÓN-BALANCE'!L45</f>
        <v>0</v>
      </c>
      <c r="N35" s="350">
        <f ca="1">+'AMORTIZACIÓN-BALANCE'!M45</f>
        <v>0</v>
      </c>
      <c r="O35" s="350">
        <f ca="1">+'AMORTIZACIÓN-BALANCE'!N45</f>
        <v>0</v>
      </c>
      <c r="P35" s="350">
        <f ca="1">+'AMORTIZACIÓN-BALANCE'!O45</f>
        <v>0</v>
      </c>
      <c r="Q35" s="350">
        <f ca="1">+'AMORTIZACIÓN-BALANCE'!P45</f>
        <v>0</v>
      </c>
      <c r="R35" s="350">
        <f ca="1">+'AMORTIZACIÓN-BALANCE'!Q45</f>
        <v>0</v>
      </c>
      <c r="S35" s="350">
        <f ca="1">+'AMORTIZACIÓN-BALANCE'!R45</f>
        <v>0</v>
      </c>
      <c r="T35" s="350">
        <f ca="1">+'AMORTIZACIÓN-BALANCE'!S45</f>
        <v>0</v>
      </c>
      <c r="U35" s="350">
        <f ca="1">+'AMORTIZACIÓN-BALANCE'!T45</f>
        <v>0</v>
      </c>
      <c r="V35" s="350">
        <f ca="1">+'AMORTIZACIÓN-BALANCE'!U45</f>
        <v>0</v>
      </c>
      <c r="W35" s="350">
        <f ca="1">+'AMORTIZACIÓN-BALANCE'!V45</f>
        <v>0</v>
      </c>
      <c r="X35" s="350">
        <f ca="1">+'AMORTIZACIÓN-BALANCE'!W45</f>
        <v>0</v>
      </c>
      <c r="Y35" s="350">
        <f ca="1">+'AMORTIZACIÓN-BALANCE'!X45</f>
        <v>0</v>
      </c>
      <c r="Z35" s="350">
        <f ca="1">+'AMORTIZACIÓN-BALANCE'!Y45</f>
        <v>0</v>
      </c>
      <c r="AA35" s="350">
        <f ca="1">+'AMORTIZACIÓN-BALANCE'!Z45</f>
        <v>0</v>
      </c>
      <c r="AB35" s="350">
        <f ca="1">+'AMORTIZACIÓN-BALANCE'!AA45</f>
        <v>0</v>
      </c>
      <c r="AC35" s="350">
        <f ca="1">+'AMORTIZACIÓN-BALANCE'!AB45</f>
        <v>0</v>
      </c>
      <c r="AD35" s="350">
        <f ca="1">+'AMORTIZACIÓN-BALANCE'!AC45</f>
        <v>0</v>
      </c>
      <c r="AE35" s="350">
        <f ca="1">+'AMORTIZACIÓN-BALANCE'!AD45</f>
        <v>0</v>
      </c>
      <c r="AF35" s="350">
        <f ca="1">+'AMORTIZACIÓN-BALANCE'!AE45</f>
        <v>0</v>
      </c>
      <c r="AG35" s="350">
        <f ca="1">+'AMORTIZACIÓN-BALANCE'!AF45</f>
        <v>0</v>
      </c>
      <c r="AH35" s="350">
        <f ca="1">+'AMORTIZACIÓN-BALANCE'!AG45</f>
        <v>0</v>
      </c>
      <c r="AI35" s="350">
        <f ca="1">+'AMORTIZACIÓN-BALANCE'!AH45</f>
        <v>0</v>
      </c>
      <c r="AJ35" s="350">
        <f ca="1">+'AMORTIZACIÓN-BALANCE'!AI45</f>
        <v>0</v>
      </c>
      <c r="AK35" s="350">
        <f ca="1">+'AMORTIZACIÓN-BALANCE'!AJ45</f>
        <v>0</v>
      </c>
      <c r="AL35" s="350">
        <f ca="1">+'AMORTIZACIÓN-BALANCE'!AK45</f>
        <v>0</v>
      </c>
      <c r="AM35" s="350">
        <f ca="1">+'AMORTIZACIÓN-BALANCE'!AL45</f>
        <v>0</v>
      </c>
    </row>
    <row r="37" spans="2:39">
      <c r="B37" s="283" t="s">
        <v>128</v>
      </c>
      <c r="C37" s="345"/>
      <c r="D37" s="290">
        <f>+Cuestionario!$C$11</f>
        <v>44197</v>
      </c>
      <c r="E37" s="290">
        <f>EDATE(D37,1)</f>
        <v>44228</v>
      </c>
      <c r="F37" s="290">
        <f t="shared" ref="F37" si="177">EDATE(E37,1)</f>
        <v>44256</v>
      </c>
      <c r="G37" s="290">
        <f t="shared" ref="G37" si="178">EDATE(F37,1)</f>
        <v>44287</v>
      </c>
      <c r="H37" s="290">
        <f t="shared" ref="H37" si="179">EDATE(G37,1)</f>
        <v>44317</v>
      </c>
      <c r="I37" s="290">
        <f t="shared" ref="I37" si="180">EDATE(H37,1)</f>
        <v>44348</v>
      </c>
      <c r="J37" s="290">
        <f t="shared" ref="J37" si="181">EDATE(I37,1)</f>
        <v>44378</v>
      </c>
      <c r="K37" s="290">
        <f t="shared" ref="K37" si="182">EDATE(J37,1)</f>
        <v>44409</v>
      </c>
      <c r="L37" s="290">
        <f t="shared" ref="L37" si="183">EDATE(K37,1)</f>
        <v>44440</v>
      </c>
      <c r="M37" s="290">
        <f t="shared" ref="M37" si="184">EDATE(L37,1)</f>
        <v>44470</v>
      </c>
      <c r="N37" s="290">
        <f t="shared" ref="N37" si="185">EDATE(M37,1)</f>
        <v>44501</v>
      </c>
      <c r="O37" s="290">
        <f t="shared" ref="O37" si="186">EDATE(N37,1)</f>
        <v>44531</v>
      </c>
      <c r="P37" s="352">
        <f>+Cuestionario!$C$11</f>
        <v>44197</v>
      </c>
      <c r="Q37" s="352">
        <f>EDATE(P37,1)</f>
        <v>44228</v>
      </c>
      <c r="R37" s="352">
        <f t="shared" ref="R37" si="187">EDATE(Q37,1)</f>
        <v>44256</v>
      </c>
      <c r="S37" s="352">
        <f t="shared" ref="S37" si="188">EDATE(R37,1)</f>
        <v>44287</v>
      </c>
      <c r="T37" s="352">
        <f t="shared" ref="T37" si="189">EDATE(S37,1)</f>
        <v>44317</v>
      </c>
      <c r="U37" s="352">
        <f t="shared" ref="U37" si="190">EDATE(T37,1)</f>
        <v>44348</v>
      </c>
      <c r="V37" s="352">
        <f t="shared" ref="V37" si="191">EDATE(U37,1)</f>
        <v>44378</v>
      </c>
      <c r="W37" s="352">
        <f t="shared" ref="W37" si="192">EDATE(V37,1)</f>
        <v>44409</v>
      </c>
      <c r="X37" s="352">
        <f t="shared" ref="X37" si="193">EDATE(W37,1)</f>
        <v>44440</v>
      </c>
      <c r="Y37" s="352">
        <f t="shared" ref="Y37" si="194">EDATE(X37,1)</f>
        <v>44470</v>
      </c>
      <c r="Z37" s="352">
        <f t="shared" ref="Z37" si="195">EDATE(Y37,1)</f>
        <v>44501</v>
      </c>
      <c r="AA37" s="352">
        <f t="shared" ref="AA37" si="196">EDATE(Z37,1)</f>
        <v>44531</v>
      </c>
      <c r="AB37" s="290">
        <f>+Cuestionario!$C$11</f>
        <v>44197</v>
      </c>
      <c r="AC37" s="290">
        <f>EDATE(AB37,1)</f>
        <v>44228</v>
      </c>
      <c r="AD37" s="290">
        <f t="shared" ref="AD37" si="197">EDATE(AC37,1)</f>
        <v>44256</v>
      </c>
      <c r="AE37" s="290">
        <f t="shared" ref="AE37" si="198">EDATE(AD37,1)</f>
        <v>44287</v>
      </c>
      <c r="AF37" s="290">
        <f t="shared" ref="AF37" si="199">EDATE(AE37,1)</f>
        <v>44317</v>
      </c>
      <c r="AG37" s="290">
        <f t="shared" ref="AG37" si="200">EDATE(AF37,1)</f>
        <v>44348</v>
      </c>
      <c r="AH37" s="290">
        <f t="shared" ref="AH37" si="201">EDATE(AG37,1)</f>
        <v>44378</v>
      </c>
      <c r="AI37" s="290">
        <f t="shared" ref="AI37" si="202">EDATE(AH37,1)</f>
        <v>44409</v>
      </c>
      <c r="AJ37" s="290">
        <f t="shared" ref="AJ37" si="203">EDATE(AI37,1)</f>
        <v>44440</v>
      </c>
      <c r="AK37" s="290">
        <f t="shared" ref="AK37" si="204">EDATE(AJ37,1)</f>
        <v>44470</v>
      </c>
      <c r="AL37" s="290">
        <f t="shared" ref="AL37" si="205">EDATE(AK37,1)</f>
        <v>44501</v>
      </c>
      <c r="AM37" s="290">
        <f t="shared" ref="AM37" si="206">EDATE(AL37,1)</f>
        <v>44531</v>
      </c>
    </row>
    <row r="38" spans="2:39">
      <c r="B38" s="568" t="s">
        <v>549</v>
      </c>
      <c r="C38" s="349"/>
      <c r="D38" s="595">
        <f>+'Inversión-Financiación'!C49</f>
        <v>0</v>
      </c>
      <c r="E38" s="595">
        <f>IF('Inversión-Financiación'!$F$52=2,'Inversión-Financiación'!$F$49,0)</f>
        <v>0</v>
      </c>
      <c r="F38" s="595">
        <f>IF('Inversión-Financiación'!$F$52=3,'Inversión-Financiación'!$F$49,0)</f>
        <v>0</v>
      </c>
      <c r="G38" s="595">
        <f>IF('Inversión-Financiación'!$F$52=4,'Inversión-Financiación'!$F$49,0)</f>
        <v>0</v>
      </c>
      <c r="H38" s="595">
        <f>IF('Inversión-Financiación'!$F$52=5,'Inversión-Financiación'!$F$49,0)</f>
        <v>0</v>
      </c>
      <c r="I38" s="595">
        <f>IF('Inversión-Financiación'!$F$52=6,'Inversión-Financiación'!$F$49,0)</f>
        <v>0</v>
      </c>
      <c r="J38" s="595">
        <f>IF('Inversión-Financiación'!$F$52=7,'Inversión-Financiación'!$F$49,0)</f>
        <v>0</v>
      </c>
      <c r="K38" s="595">
        <f>IF('Inversión-Financiación'!$F$52=8,'Inversión-Financiación'!$F$49,0)</f>
        <v>0</v>
      </c>
      <c r="L38" s="595">
        <f>IF('Inversión-Financiación'!$F$52=9,'Inversión-Financiación'!$F$49,0)</f>
        <v>0</v>
      </c>
      <c r="M38" s="595">
        <f>IF('Inversión-Financiación'!$F$52=10,'Inversión-Financiación'!$F$49,0)</f>
        <v>0</v>
      </c>
      <c r="N38" s="595">
        <f>IF('Inversión-Financiación'!$F$52=11,'Inversión-Financiación'!$F$49,0)</f>
        <v>0</v>
      </c>
      <c r="O38" s="595">
        <f>IF('Inversión-Financiación'!$F$52=12,'Inversión-Financiación'!$F$49,0)</f>
        <v>0</v>
      </c>
      <c r="P38" s="595">
        <f>IF('Inversión-Financiación'!$F$52=13,'Inversión-Financiación'!$F$49,0)</f>
        <v>0</v>
      </c>
      <c r="Q38" s="595">
        <f>IF('Inversión-Financiación'!$F$52=14,'Inversión-Financiación'!$F$49,0)</f>
        <v>0</v>
      </c>
      <c r="R38" s="595">
        <f>IF('Inversión-Financiación'!$F$52=15,'Inversión-Financiación'!$F$49,0)</f>
        <v>0</v>
      </c>
      <c r="S38" s="595">
        <f>IF('Inversión-Financiación'!$F$52=16,'Inversión-Financiación'!$F$49,0)</f>
        <v>0</v>
      </c>
      <c r="T38" s="595">
        <f>IF('Inversión-Financiación'!$F$52=17,'Inversión-Financiación'!$F$49,0)</f>
        <v>0</v>
      </c>
      <c r="U38" s="595">
        <f>IF('Inversión-Financiación'!$F$52=18,'Inversión-Financiación'!$F$49,0)</f>
        <v>0</v>
      </c>
      <c r="V38" s="595">
        <f>IF('Inversión-Financiación'!$F$52=19,'Inversión-Financiación'!$F$49,0)</f>
        <v>0</v>
      </c>
      <c r="W38" s="595">
        <f>IF('Inversión-Financiación'!$F$52=20,'Inversión-Financiación'!$F$49,0)</f>
        <v>0</v>
      </c>
      <c r="X38" s="595">
        <f>IF('Inversión-Financiación'!$F$52=21,'Inversión-Financiación'!$F$49,0)</f>
        <v>0</v>
      </c>
      <c r="Y38" s="595">
        <f>IF('Inversión-Financiación'!$F$52=22,'Inversión-Financiación'!$F$49,0)</f>
        <v>0</v>
      </c>
      <c r="Z38" s="595">
        <f>IF('Inversión-Financiación'!$F$52=23,'Inversión-Financiación'!$F$49,0)</f>
        <v>0</v>
      </c>
      <c r="AA38" s="595">
        <f>IF('Inversión-Financiación'!$F$52=24,'Inversión-Financiación'!$F$49,0)</f>
        <v>0</v>
      </c>
      <c r="AB38" s="595">
        <f>IF('Inversión-Financiación'!$F$52=25,'Inversión-Financiación'!$F$49,0)</f>
        <v>0</v>
      </c>
      <c r="AC38" s="595">
        <f>IF('Inversión-Financiación'!$F$52=26,'Inversión-Financiación'!$F$49,0)</f>
        <v>0</v>
      </c>
      <c r="AD38" s="595">
        <f>IF('Inversión-Financiación'!$F$52=27,'Inversión-Financiación'!$F$49,0)</f>
        <v>0</v>
      </c>
      <c r="AE38" s="595">
        <f>IF('Inversión-Financiación'!$F$52=28,'Inversión-Financiación'!$F$49,0)</f>
        <v>0</v>
      </c>
      <c r="AF38" s="595">
        <f>IF('Inversión-Financiación'!$F$52=29,'Inversión-Financiación'!$F$49,0)</f>
        <v>0</v>
      </c>
      <c r="AG38" s="595">
        <f>IF('Inversión-Financiación'!$F$52=30,'Inversión-Financiación'!$F$49,0)</f>
        <v>0</v>
      </c>
      <c r="AH38" s="595">
        <f>IF('Inversión-Financiación'!$F$52=31,'Inversión-Financiación'!$F$49,0)</f>
        <v>0</v>
      </c>
      <c r="AI38" s="595">
        <f>IF('Inversión-Financiación'!$F$52=32,'Inversión-Financiación'!$F$49,0)</f>
        <v>0</v>
      </c>
      <c r="AJ38" s="595">
        <f>IF('Inversión-Financiación'!$F$52=33,'Inversión-Financiación'!$F$49,0)</f>
        <v>0</v>
      </c>
      <c r="AK38" s="595">
        <f>IF('Inversión-Financiación'!$F$52=34,'Inversión-Financiación'!$F$49,0)</f>
        <v>0</v>
      </c>
      <c r="AL38" s="595">
        <f>IF('Inversión-Financiación'!$F$52=35,'Inversión-Financiación'!$F$49,0)</f>
        <v>0</v>
      </c>
      <c r="AM38" s="595">
        <f>IF('Inversión-Financiación'!$F$52=36,'Inversión-Financiación'!$F$49,0)</f>
        <v>0</v>
      </c>
    </row>
    <row r="39" spans="2:39">
      <c r="B39" s="568" t="s">
        <v>195</v>
      </c>
      <c r="C39" s="530"/>
      <c r="D39" s="595">
        <f ca="1">+'Total préstamos'!C3</f>
        <v>0</v>
      </c>
      <c r="E39" s="595">
        <f ca="1">+'Total préstamos'!D3</f>
        <v>0</v>
      </c>
      <c r="F39" s="595">
        <f ca="1">+'Total préstamos'!E3</f>
        <v>0</v>
      </c>
      <c r="G39" s="595">
        <f ca="1">+'Total préstamos'!F3</f>
        <v>0</v>
      </c>
      <c r="H39" s="595">
        <f ca="1">+'Total préstamos'!G3</f>
        <v>0</v>
      </c>
      <c r="I39" s="595">
        <f ca="1">+'Total préstamos'!H3</f>
        <v>0</v>
      </c>
      <c r="J39" s="595">
        <f ca="1">+'Total préstamos'!I3</f>
        <v>0</v>
      </c>
      <c r="K39" s="595">
        <f ca="1">+'Total préstamos'!J3</f>
        <v>0</v>
      </c>
      <c r="L39" s="595">
        <f ca="1">+'Total préstamos'!K3</f>
        <v>0</v>
      </c>
      <c r="M39" s="595">
        <f ca="1">+'Total préstamos'!L3</f>
        <v>0</v>
      </c>
      <c r="N39" s="595">
        <f ca="1">+'Total préstamos'!M3</f>
        <v>0</v>
      </c>
      <c r="O39" s="595">
        <f ca="1">+'Total préstamos'!N3</f>
        <v>0</v>
      </c>
      <c r="P39" s="595">
        <f ca="1">+'Total préstamos'!O3</f>
        <v>0</v>
      </c>
      <c r="Q39" s="595">
        <f ca="1">+'Total préstamos'!P3</f>
        <v>0</v>
      </c>
      <c r="R39" s="595">
        <f ca="1">+'Total préstamos'!Q3</f>
        <v>0</v>
      </c>
      <c r="S39" s="595">
        <f ca="1">+'Total préstamos'!R3</f>
        <v>0</v>
      </c>
      <c r="T39" s="595">
        <f ca="1">+'Total préstamos'!S3</f>
        <v>0</v>
      </c>
      <c r="U39" s="595">
        <f ca="1">+'Total préstamos'!T3</f>
        <v>0</v>
      </c>
      <c r="V39" s="595">
        <f ca="1">+'Total préstamos'!U3</f>
        <v>0</v>
      </c>
      <c r="W39" s="595">
        <f ca="1">+'Total préstamos'!V3</f>
        <v>0</v>
      </c>
      <c r="X39" s="595">
        <f ca="1">+'Total préstamos'!W3</f>
        <v>0</v>
      </c>
      <c r="Y39" s="595">
        <f ca="1">+'Total préstamos'!X3</f>
        <v>0</v>
      </c>
      <c r="Z39" s="595">
        <f ca="1">+'Total préstamos'!Y3</f>
        <v>0</v>
      </c>
      <c r="AA39" s="595">
        <f ca="1">+'Total préstamos'!Z3</f>
        <v>0</v>
      </c>
      <c r="AB39" s="595">
        <f ca="1">+'Total préstamos'!AA3</f>
        <v>0</v>
      </c>
      <c r="AC39" s="595">
        <f ca="1">+'Total préstamos'!AB3</f>
        <v>0</v>
      </c>
      <c r="AD39" s="595">
        <f ca="1">+'Total préstamos'!AC3</f>
        <v>0</v>
      </c>
      <c r="AE39" s="595">
        <f ca="1">+'Total préstamos'!AD3</f>
        <v>0</v>
      </c>
      <c r="AF39" s="595">
        <f ca="1">+'Total préstamos'!AE3</f>
        <v>0</v>
      </c>
      <c r="AG39" s="595">
        <f ca="1">+'Total préstamos'!AF3</f>
        <v>0</v>
      </c>
      <c r="AH39" s="595">
        <f ca="1">+'Total préstamos'!AG3</f>
        <v>0</v>
      </c>
      <c r="AI39" s="595">
        <f ca="1">+'Total préstamos'!AH3</f>
        <v>0</v>
      </c>
      <c r="AJ39" s="595">
        <f ca="1">+'Total préstamos'!AI3</f>
        <v>0</v>
      </c>
      <c r="AK39" s="595">
        <f ca="1">+'Total préstamos'!AJ3</f>
        <v>0</v>
      </c>
      <c r="AL39" s="595">
        <f ca="1">+'Total préstamos'!AK3</f>
        <v>0</v>
      </c>
      <c r="AM39" s="595">
        <f ca="1">+'Total préstamos'!AL3</f>
        <v>0</v>
      </c>
    </row>
    <row r="41" spans="2:39">
      <c r="B41" s="283" t="s">
        <v>192</v>
      </c>
      <c r="C41" s="345"/>
      <c r="D41" s="290">
        <f>+Cuestionario!$C$11</f>
        <v>44197</v>
      </c>
      <c r="E41" s="290">
        <f t="shared" ref="E41:O41" si="207">EDATE(D41,1)</f>
        <v>44228</v>
      </c>
      <c r="F41" s="290">
        <f t="shared" si="207"/>
        <v>44256</v>
      </c>
      <c r="G41" s="290">
        <f t="shared" si="207"/>
        <v>44287</v>
      </c>
      <c r="H41" s="290">
        <f t="shared" si="207"/>
        <v>44317</v>
      </c>
      <c r="I41" s="290">
        <f t="shared" si="207"/>
        <v>44348</v>
      </c>
      <c r="J41" s="290">
        <f t="shared" si="207"/>
        <v>44378</v>
      </c>
      <c r="K41" s="290">
        <f t="shared" si="207"/>
        <v>44409</v>
      </c>
      <c r="L41" s="290">
        <f t="shared" si="207"/>
        <v>44440</v>
      </c>
      <c r="M41" s="290">
        <f t="shared" si="207"/>
        <v>44470</v>
      </c>
      <c r="N41" s="290">
        <f t="shared" si="207"/>
        <v>44501</v>
      </c>
      <c r="O41" s="290">
        <f t="shared" si="207"/>
        <v>44531</v>
      </c>
      <c r="P41" s="352">
        <f>+Cuestionario!$C$11</f>
        <v>44197</v>
      </c>
      <c r="Q41" s="352">
        <f t="shared" ref="Q41:AA41" si="208">EDATE(P41,1)</f>
        <v>44228</v>
      </c>
      <c r="R41" s="352">
        <f t="shared" si="208"/>
        <v>44256</v>
      </c>
      <c r="S41" s="352">
        <f t="shared" si="208"/>
        <v>44287</v>
      </c>
      <c r="T41" s="352">
        <f t="shared" si="208"/>
        <v>44317</v>
      </c>
      <c r="U41" s="352">
        <f t="shared" si="208"/>
        <v>44348</v>
      </c>
      <c r="V41" s="352">
        <f t="shared" si="208"/>
        <v>44378</v>
      </c>
      <c r="W41" s="352">
        <f t="shared" si="208"/>
        <v>44409</v>
      </c>
      <c r="X41" s="352">
        <f t="shared" si="208"/>
        <v>44440</v>
      </c>
      <c r="Y41" s="352">
        <f t="shared" si="208"/>
        <v>44470</v>
      </c>
      <c r="Z41" s="352">
        <f t="shared" si="208"/>
        <v>44501</v>
      </c>
      <c r="AA41" s="352">
        <f t="shared" si="208"/>
        <v>44531</v>
      </c>
      <c r="AB41" s="290">
        <f>+Cuestionario!$C$11</f>
        <v>44197</v>
      </c>
      <c r="AC41" s="290">
        <f t="shared" ref="AC41:AM41" si="209">EDATE(AB41,1)</f>
        <v>44228</v>
      </c>
      <c r="AD41" s="290">
        <f t="shared" si="209"/>
        <v>44256</v>
      </c>
      <c r="AE41" s="290">
        <f t="shared" si="209"/>
        <v>44287</v>
      </c>
      <c r="AF41" s="290">
        <f t="shared" si="209"/>
        <v>44317</v>
      </c>
      <c r="AG41" s="290">
        <f t="shared" si="209"/>
        <v>44348</v>
      </c>
      <c r="AH41" s="290">
        <f t="shared" si="209"/>
        <v>44378</v>
      </c>
      <c r="AI41" s="290">
        <f t="shared" si="209"/>
        <v>44409</v>
      </c>
      <c r="AJ41" s="290">
        <f t="shared" si="209"/>
        <v>44440</v>
      </c>
      <c r="AK41" s="290">
        <f t="shared" si="209"/>
        <v>44470</v>
      </c>
      <c r="AL41" s="290">
        <f t="shared" si="209"/>
        <v>44501</v>
      </c>
      <c r="AM41" s="290">
        <f t="shared" si="209"/>
        <v>44531</v>
      </c>
    </row>
    <row r="42" spans="2:39">
      <c r="B42" s="609">
        <v>0</v>
      </c>
      <c r="C42" s="530"/>
      <c r="D42" s="569">
        <f>+'INGRESOS-GASTOS'!G17*'Otros Gastos'!$B$42</f>
        <v>0</v>
      </c>
      <c r="E42" s="569">
        <f>+'INGRESOS-GASTOS'!H17*'Otros Gastos'!$B$42</f>
        <v>0</v>
      </c>
      <c r="F42" s="569">
        <f>+'INGRESOS-GASTOS'!I17*'Otros Gastos'!$B$42</f>
        <v>0</v>
      </c>
      <c r="G42" s="569">
        <f>+'INGRESOS-GASTOS'!J17*'Otros Gastos'!$B$42</f>
        <v>0</v>
      </c>
      <c r="H42" s="569">
        <f>+'INGRESOS-GASTOS'!K17*'Otros Gastos'!$B$42</f>
        <v>0</v>
      </c>
      <c r="I42" s="569">
        <f>+'INGRESOS-GASTOS'!L17*'Otros Gastos'!$B$42</f>
        <v>0</v>
      </c>
      <c r="J42" s="569">
        <f>+'INGRESOS-GASTOS'!M17*'Otros Gastos'!$B$42</f>
        <v>0</v>
      </c>
      <c r="K42" s="569">
        <f>+'INGRESOS-GASTOS'!N17*'Otros Gastos'!$B$42</f>
        <v>0</v>
      </c>
      <c r="L42" s="569">
        <f>+'INGRESOS-GASTOS'!O17*'Otros Gastos'!$B$42</f>
        <v>0</v>
      </c>
      <c r="M42" s="569">
        <f>+'INGRESOS-GASTOS'!P17*'Otros Gastos'!$B$42</f>
        <v>0</v>
      </c>
      <c r="N42" s="569">
        <f>+'INGRESOS-GASTOS'!Q17*'Otros Gastos'!$B$42</f>
        <v>0</v>
      </c>
      <c r="O42" s="569">
        <f>+'INGRESOS-GASTOS'!R17*'Otros Gastos'!$B$42</f>
        <v>0</v>
      </c>
      <c r="P42" s="569">
        <f>+'INGRESOS-GASTOS'!S17*'Otros Gastos'!$B$42</f>
        <v>0</v>
      </c>
      <c r="Q42" s="569">
        <f>+'INGRESOS-GASTOS'!T17*'Otros Gastos'!$B$42</f>
        <v>0</v>
      </c>
      <c r="R42" s="569">
        <f>+'INGRESOS-GASTOS'!U17*'Otros Gastos'!$B$42</f>
        <v>0</v>
      </c>
      <c r="S42" s="569">
        <f>+'INGRESOS-GASTOS'!V17*'Otros Gastos'!$B$42</f>
        <v>0</v>
      </c>
      <c r="T42" s="569">
        <f>+'INGRESOS-GASTOS'!W17*'Otros Gastos'!$B$42</f>
        <v>0</v>
      </c>
      <c r="U42" s="569">
        <f>+'INGRESOS-GASTOS'!X17*'Otros Gastos'!$B$42</f>
        <v>0</v>
      </c>
      <c r="V42" s="569">
        <f>+'INGRESOS-GASTOS'!Y17*'Otros Gastos'!$B$42</f>
        <v>0</v>
      </c>
      <c r="W42" s="569">
        <f>+'INGRESOS-GASTOS'!Z17*'Otros Gastos'!$B$42</f>
        <v>0</v>
      </c>
      <c r="X42" s="569">
        <f>+'INGRESOS-GASTOS'!AA17*'Otros Gastos'!$B$42</f>
        <v>0</v>
      </c>
      <c r="Y42" s="569">
        <f>+'INGRESOS-GASTOS'!AB17*'Otros Gastos'!$B$42</f>
        <v>0</v>
      </c>
      <c r="Z42" s="569">
        <f>+'INGRESOS-GASTOS'!AC17*'Otros Gastos'!$B$42</f>
        <v>0</v>
      </c>
      <c r="AA42" s="569">
        <f>+'INGRESOS-GASTOS'!AD17*'Otros Gastos'!$B$42</f>
        <v>0</v>
      </c>
      <c r="AB42" s="569">
        <f>+'INGRESOS-GASTOS'!AE17*'Otros Gastos'!$B$42</f>
        <v>0</v>
      </c>
      <c r="AC42" s="569">
        <f>+'INGRESOS-GASTOS'!AF17*'Otros Gastos'!$B$42</f>
        <v>0</v>
      </c>
      <c r="AD42" s="569">
        <f>+'INGRESOS-GASTOS'!AG17*'Otros Gastos'!$B$42</f>
        <v>0</v>
      </c>
      <c r="AE42" s="569">
        <f>+'INGRESOS-GASTOS'!AH17*'Otros Gastos'!$B$42</f>
        <v>0</v>
      </c>
      <c r="AF42" s="569">
        <f>+'INGRESOS-GASTOS'!AI17*'Otros Gastos'!$B$42</f>
        <v>0</v>
      </c>
      <c r="AG42" s="569">
        <f>+'INGRESOS-GASTOS'!AJ17*'Otros Gastos'!$B$42</f>
        <v>0</v>
      </c>
      <c r="AH42" s="569">
        <f>+'INGRESOS-GASTOS'!AK17*'Otros Gastos'!$B$42</f>
        <v>0</v>
      </c>
      <c r="AI42" s="569">
        <f>+'INGRESOS-GASTOS'!AL17*'Otros Gastos'!$B$42</f>
        <v>0</v>
      </c>
      <c r="AJ42" s="569">
        <f>+'INGRESOS-GASTOS'!AM17*'Otros Gastos'!$B$42</f>
        <v>0</v>
      </c>
      <c r="AK42" s="569">
        <f>+'INGRESOS-GASTOS'!AN17*'Otros Gastos'!$B$42</f>
        <v>0</v>
      </c>
      <c r="AL42" s="569">
        <f>+'INGRESOS-GASTOS'!AO17*'Otros Gastos'!$B$42</f>
        <v>0</v>
      </c>
      <c r="AM42" s="569">
        <f>+'INGRESOS-GASTOS'!AP17*'Otros Gastos'!$B$42</f>
        <v>0</v>
      </c>
    </row>
    <row r="43" spans="2:39">
      <c r="C43" s="530"/>
    </row>
    <row r="44" spans="2:39">
      <c r="B44" s="283" t="s">
        <v>247</v>
      </c>
      <c r="C44" s="345"/>
      <c r="D44" s="290">
        <f>D41</f>
        <v>44197</v>
      </c>
      <c r="E44" s="290">
        <f t="shared" ref="E44:AM44" si="210">E41</f>
        <v>44228</v>
      </c>
      <c r="F44" s="290">
        <f t="shared" si="210"/>
        <v>44256</v>
      </c>
      <c r="G44" s="290">
        <f t="shared" si="210"/>
        <v>44287</v>
      </c>
      <c r="H44" s="290">
        <f t="shared" si="210"/>
        <v>44317</v>
      </c>
      <c r="I44" s="290">
        <f t="shared" si="210"/>
        <v>44348</v>
      </c>
      <c r="J44" s="290">
        <f t="shared" si="210"/>
        <v>44378</v>
      </c>
      <c r="K44" s="290">
        <f t="shared" si="210"/>
        <v>44409</v>
      </c>
      <c r="L44" s="290">
        <f t="shared" si="210"/>
        <v>44440</v>
      </c>
      <c r="M44" s="290">
        <f t="shared" si="210"/>
        <v>44470</v>
      </c>
      <c r="N44" s="290">
        <f t="shared" si="210"/>
        <v>44501</v>
      </c>
      <c r="O44" s="290">
        <f t="shared" si="210"/>
        <v>44531</v>
      </c>
      <c r="P44" s="352">
        <f t="shared" si="210"/>
        <v>44197</v>
      </c>
      <c r="Q44" s="352">
        <f t="shared" si="210"/>
        <v>44228</v>
      </c>
      <c r="R44" s="352">
        <f t="shared" si="210"/>
        <v>44256</v>
      </c>
      <c r="S44" s="352">
        <f t="shared" si="210"/>
        <v>44287</v>
      </c>
      <c r="T44" s="352">
        <f t="shared" si="210"/>
        <v>44317</v>
      </c>
      <c r="U44" s="352">
        <f t="shared" si="210"/>
        <v>44348</v>
      </c>
      <c r="V44" s="352">
        <f t="shared" si="210"/>
        <v>44378</v>
      </c>
      <c r="W44" s="352">
        <f t="shared" si="210"/>
        <v>44409</v>
      </c>
      <c r="X44" s="352">
        <f t="shared" si="210"/>
        <v>44440</v>
      </c>
      <c r="Y44" s="352">
        <f t="shared" si="210"/>
        <v>44470</v>
      </c>
      <c r="Z44" s="352">
        <f t="shared" si="210"/>
        <v>44501</v>
      </c>
      <c r="AA44" s="352">
        <f t="shared" si="210"/>
        <v>44531</v>
      </c>
      <c r="AB44" s="290">
        <f t="shared" si="210"/>
        <v>44197</v>
      </c>
      <c r="AC44" s="290">
        <f t="shared" si="210"/>
        <v>44228</v>
      </c>
      <c r="AD44" s="290">
        <f t="shared" si="210"/>
        <v>44256</v>
      </c>
      <c r="AE44" s="290">
        <f t="shared" si="210"/>
        <v>44287</v>
      </c>
      <c r="AF44" s="290">
        <f t="shared" si="210"/>
        <v>44317</v>
      </c>
      <c r="AG44" s="290">
        <f t="shared" si="210"/>
        <v>44348</v>
      </c>
      <c r="AH44" s="290">
        <f t="shared" si="210"/>
        <v>44378</v>
      </c>
      <c r="AI44" s="290">
        <f t="shared" si="210"/>
        <v>44409</v>
      </c>
      <c r="AJ44" s="290">
        <f t="shared" si="210"/>
        <v>44440</v>
      </c>
      <c r="AK44" s="290">
        <f t="shared" si="210"/>
        <v>44470</v>
      </c>
      <c r="AL44" s="290">
        <f t="shared" si="210"/>
        <v>44501</v>
      </c>
      <c r="AM44" s="290">
        <f t="shared" si="210"/>
        <v>44531</v>
      </c>
    </row>
    <row r="45" spans="2:39">
      <c r="B45" s="570" t="str">
        <f>IF(Cuestionario!$I$5="Empresario individual",IF(Cuestionario!C67=DATOS!$P$3,"Módulos","IRPF"),"")</f>
        <v/>
      </c>
      <c r="C45" s="530"/>
      <c r="D45" s="569">
        <f ca="1">'IRPF-IVA-IS'!G71+SUM('IRPF-IVA-IS'!G58:G61)</f>
        <v>0</v>
      </c>
      <c r="E45" s="569">
        <f ca="1">'IRPF-IVA-IS'!H71+SUM('IRPF-IVA-IS'!H58:H61)</f>
        <v>0</v>
      </c>
      <c r="F45" s="569">
        <f ca="1">'IRPF-IVA-IS'!I71+SUM('IRPF-IVA-IS'!I58:I61)</f>
        <v>0</v>
      </c>
      <c r="G45" s="569">
        <f ca="1">'IRPF-IVA-IS'!J71+SUM('IRPF-IVA-IS'!J58:J61)</f>
        <v>0</v>
      </c>
      <c r="H45" s="569">
        <f ca="1">'IRPF-IVA-IS'!K71+SUM('IRPF-IVA-IS'!K58:K61)</f>
        <v>0</v>
      </c>
      <c r="I45" s="569">
        <f ca="1">'IRPF-IVA-IS'!L71+SUM('IRPF-IVA-IS'!L58:L61)</f>
        <v>0</v>
      </c>
      <c r="J45" s="569">
        <f ca="1">'IRPF-IVA-IS'!M71+SUM('IRPF-IVA-IS'!M58:M61)</f>
        <v>0</v>
      </c>
      <c r="K45" s="569">
        <f ca="1">'IRPF-IVA-IS'!N71+SUM('IRPF-IVA-IS'!N58:N61)</f>
        <v>0</v>
      </c>
      <c r="L45" s="569">
        <f ca="1">'IRPF-IVA-IS'!O71+SUM('IRPF-IVA-IS'!O58:O61)</f>
        <v>0</v>
      </c>
      <c r="M45" s="569">
        <f ca="1">'IRPF-IVA-IS'!P71+SUM('IRPF-IVA-IS'!P58:P61)</f>
        <v>0</v>
      </c>
      <c r="N45" s="569">
        <f ca="1">'IRPF-IVA-IS'!Q71+SUM('IRPF-IVA-IS'!Q58:Q61)</f>
        <v>0</v>
      </c>
      <c r="O45" s="569">
        <f ca="1">'IRPF-IVA-IS'!R71+SUM('IRPF-IVA-IS'!R58:R61)</f>
        <v>0</v>
      </c>
      <c r="P45" s="569">
        <f ca="1">'IRPF-IVA-IS'!S71+SUM('IRPF-IVA-IS'!S58:S61)</f>
        <v>0</v>
      </c>
      <c r="Q45" s="569">
        <f ca="1">'IRPF-IVA-IS'!T71+SUM('IRPF-IVA-IS'!T58:T61)</f>
        <v>0</v>
      </c>
      <c r="R45" s="569">
        <f ca="1">'IRPF-IVA-IS'!U71+SUM('IRPF-IVA-IS'!U58:U61)</f>
        <v>0</v>
      </c>
      <c r="S45" s="569">
        <f ca="1">'IRPF-IVA-IS'!V71+SUM('IRPF-IVA-IS'!V58:V61)</f>
        <v>0</v>
      </c>
      <c r="T45" s="569">
        <f ca="1">'IRPF-IVA-IS'!W71+SUM('IRPF-IVA-IS'!W58:W61)</f>
        <v>0</v>
      </c>
      <c r="U45" s="569">
        <f ca="1">'IRPF-IVA-IS'!X71+SUM('IRPF-IVA-IS'!X58:X61)</f>
        <v>0</v>
      </c>
      <c r="V45" s="569">
        <f ca="1">'IRPF-IVA-IS'!Y71+SUM('IRPF-IVA-IS'!Y58:Y61)</f>
        <v>0</v>
      </c>
      <c r="W45" s="569">
        <f ca="1">'IRPF-IVA-IS'!Z71+SUM('IRPF-IVA-IS'!Z58:Z61)</f>
        <v>0</v>
      </c>
      <c r="X45" s="569">
        <f ca="1">'IRPF-IVA-IS'!AA71+SUM('IRPF-IVA-IS'!AA58:AA61)</f>
        <v>0</v>
      </c>
      <c r="Y45" s="569">
        <f ca="1">'IRPF-IVA-IS'!AB71+SUM('IRPF-IVA-IS'!AB58:AB61)</f>
        <v>0</v>
      </c>
      <c r="Z45" s="569">
        <f ca="1">'IRPF-IVA-IS'!AC71+SUM('IRPF-IVA-IS'!AC58:AC61)</f>
        <v>0</v>
      </c>
      <c r="AA45" s="569">
        <f ca="1">'IRPF-IVA-IS'!AD71+SUM('IRPF-IVA-IS'!AD58:AD61)</f>
        <v>0</v>
      </c>
      <c r="AB45" s="569">
        <f ca="1">'IRPF-IVA-IS'!AE71+SUM('IRPF-IVA-IS'!AE58:AE61)</f>
        <v>0</v>
      </c>
      <c r="AC45" s="569">
        <f ca="1">'IRPF-IVA-IS'!AF71+SUM('IRPF-IVA-IS'!AF58:AF61)</f>
        <v>0</v>
      </c>
      <c r="AD45" s="569">
        <f ca="1">'IRPF-IVA-IS'!AG71+SUM('IRPF-IVA-IS'!AG58:AG61)</f>
        <v>0</v>
      </c>
      <c r="AE45" s="569">
        <f ca="1">'IRPF-IVA-IS'!AH71+SUM('IRPF-IVA-IS'!AH58:AH61)</f>
        <v>0</v>
      </c>
      <c r="AF45" s="569">
        <f ca="1">'IRPF-IVA-IS'!AI71+SUM('IRPF-IVA-IS'!AI58:AI61)</f>
        <v>0</v>
      </c>
      <c r="AG45" s="569">
        <f ca="1">'IRPF-IVA-IS'!AJ71+SUM('IRPF-IVA-IS'!AJ58:AJ61)</f>
        <v>0</v>
      </c>
      <c r="AH45" s="569">
        <f ca="1">'IRPF-IVA-IS'!AK71+SUM('IRPF-IVA-IS'!AK58:AK61)</f>
        <v>0</v>
      </c>
      <c r="AI45" s="569">
        <f ca="1">'IRPF-IVA-IS'!AL71+SUM('IRPF-IVA-IS'!AL58:AL61)</f>
        <v>0</v>
      </c>
      <c r="AJ45" s="569">
        <f ca="1">'IRPF-IVA-IS'!AM71+SUM('IRPF-IVA-IS'!AM58:AM61)</f>
        <v>0</v>
      </c>
      <c r="AK45" s="569">
        <f ca="1">'IRPF-IVA-IS'!AN71+SUM('IRPF-IVA-IS'!AN58:AN61)</f>
        <v>0</v>
      </c>
      <c r="AL45" s="569">
        <f ca="1">'IRPF-IVA-IS'!AO71+SUM('IRPF-IVA-IS'!AO58:AO61)</f>
        <v>0</v>
      </c>
      <c r="AM45" s="569">
        <f ca="1">'IRPF-IVA-IS'!AP71+SUM('IRPF-IVA-IS'!AP58:AP61)</f>
        <v>0</v>
      </c>
    </row>
    <row r="46" spans="2:39">
      <c r="B46" s="570" t="str">
        <f>IF(Cuestionario!I5="Empresario individual","","Impuesto de Sociedades")</f>
        <v>Impuesto de Sociedades</v>
      </c>
      <c r="C46" s="530"/>
      <c r="D46" s="569">
        <f ca="1">+'IRPF-IVA-IS'!G34</f>
        <v>0</v>
      </c>
      <c r="E46" s="569">
        <f ca="1">+'IRPF-IVA-IS'!H34</f>
        <v>0</v>
      </c>
      <c r="F46" s="569">
        <f ca="1">+'IRPF-IVA-IS'!I34</f>
        <v>0</v>
      </c>
      <c r="G46" s="569">
        <f ca="1">+'IRPF-IVA-IS'!J34</f>
        <v>0</v>
      </c>
      <c r="H46" s="569">
        <f ca="1">+'IRPF-IVA-IS'!K34</f>
        <v>0</v>
      </c>
      <c r="I46" s="569">
        <f ca="1">+'IRPF-IVA-IS'!L34</f>
        <v>0</v>
      </c>
      <c r="J46" s="569">
        <f ca="1">+'IRPF-IVA-IS'!M34</f>
        <v>0</v>
      </c>
      <c r="K46" s="569">
        <f ca="1">+'IRPF-IVA-IS'!N34</f>
        <v>0</v>
      </c>
      <c r="L46" s="569">
        <f ca="1">+'IRPF-IVA-IS'!O34</f>
        <v>0</v>
      </c>
      <c r="M46" s="569">
        <f ca="1">+'IRPF-IVA-IS'!P34</f>
        <v>0</v>
      </c>
      <c r="N46" s="569">
        <f ca="1">+'IRPF-IVA-IS'!Q34</f>
        <v>0</v>
      </c>
      <c r="O46" s="569">
        <f ca="1">+'IRPF-IVA-IS'!R34</f>
        <v>0</v>
      </c>
      <c r="P46" s="569">
        <f ca="1">+'IRPF-IVA-IS'!S34</f>
        <v>0</v>
      </c>
      <c r="Q46" s="569">
        <f ca="1">+'IRPF-IVA-IS'!T34</f>
        <v>0</v>
      </c>
      <c r="R46" s="569">
        <f ca="1">+'IRPF-IVA-IS'!U34</f>
        <v>0</v>
      </c>
      <c r="S46" s="569">
        <f ca="1">+'IRPF-IVA-IS'!V34</f>
        <v>0</v>
      </c>
      <c r="T46" s="569">
        <f ca="1">+'IRPF-IVA-IS'!W34</f>
        <v>0</v>
      </c>
      <c r="U46" s="569">
        <f ca="1">+'IRPF-IVA-IS'!X34</f>
        <v>0</v>
      </c>
      <c r="V46" s="569">
        <f ca="1">+'IRPF-IVA-IS'!Y34</f>
        <v>0</v>
      </c>
      <c r="W46" s="569">
        <f ca="1">+'IRPF-IVA-IS'!Z34</f>
        <v>0</v>
      </c>
      <c r="X46" s="569">
        <f ca="1">+'IRPF-IVA-IS'!AA34</f>
        <v>0</v>
      </c>
      <c r="Y46" s="569">
        <f ca="1">+'IRPF-IVA-IS'!AB34</f>
        <v>0</v>
      </c>
      <c r="Z46" s="569">
        <f ca="1">+'IRPF-IVA-IS'!AC34</f>
        <v>0</v>
      </c>
      <c r="AA46" s="569">
        <f ca="1">+'IRPF-IVA-IS'!AD34</f>
        <v>0</v>
      </c>
      <c r="AB46" s="569">
        <f ca="1">+'IRPF-IVA-IS'!AE34</f>
        <v>0</v>
      </c>
      <c r="AC46" s="569">
        <f ca="1">+'IRPF-IVA-IS'!AF34</f>
        <v>0</v>
      </c>
      <c r="AD46" s="569">
        <f ca="1">+'IRPF-IVA-IS'!AG34</f>
        <v>0</v>
      </c>
      <c r="AE46" s="569">
        <f ca="1">+'IRPF-IVA-IS'!AH34</f>
        <v>0</v>
      </c>
      <c r="AF46" s="569">
        <f ca="1">+'IRPF-IVA-IS'!AI34</f>
        <v>0</v>
      </c>
      <c r="AG46" s="569">
        <f ca="1">+'IRPF-IVA-IS'!AJ34</f>
        <v>0</v>
      </c>
      <c r="AH46" s="569">
        <f ca="1">+'IRPF-IVA-IS'!AK34</f>
        <v>0</v>
      </c>
      <c r="AI46" s="569">
        <f ca="1">+'IRPF-IVA-IS'!AL34</f>
        <v>0</v>
      </c>
      <c r="AJ46" s="569">
        <f ca="1">+'IRPF-IVA-IS'!AM34</f>
        <v>0</v>
      </c>
      <c r="AK46" s="569">
        <f ca="1">+'IRPF-IVA-IS'!AN34</f>
        <v>0</v>
      </c>
      <c r="AL46" s="569">
        <f ca="1">+'IRPF-IVA-IS'!AO34</f>
        <v>0</v>
      </c>
      <c r="AM46" s="569">
        <f ca="1">+'IRPF-IVA-IS'!AP34</f>
        <v>0</v>
      </c>
    </row>
  </sheetData>
  <sheetProtection sheet="1" objects="1" scenarios="1"/>
  <conditionalFormatting sqref="H1">
    <cfRule type="cellIs" dxfId="496" priority="13" operator="greaterThan">
      <formula>0</formula>
    </cfRule>
    <cfRule type="cellIs" dxfId="495" priority="14" operator="lessThan">
      <formula>0</formula>
    </cfRule>
  </conditionalFormatting>
  <conditionalFormatting sqref="J1">
    <cfRule type="cellIs" dxfId="494" priority="11" operator="greaterThan">
      <formula>0</formula>
    </cfRule>
    <cfRule type="cellIs" dxfId="493" priority="12" operator="lessThan">
      <formula>0</formula>
    </cfRule>
  </conditionalFormatting>
  <conditionalFormatting sqref="F1">
    <cfRule type="cellIs" dxfId="492" priority="9" operator="greaterThan">
      <formula>0</formula>
    </cfRule>
    <cfRule type="cellIs" dxfId="491" priority="10" operator="lessThan">
      <formula>0</formula>
    </cfRule>
  </conditionalFormatting>
  <conditionalFormatting sqref="N1">
    <cfRule type="cellIs" dxfId="490" priority="7" operator="greaterThan">
      <formula>0</formula>
    </cfRule>
    <cfRule type="cellIs" dxfId="489" priority="8" operator="lessThan">
      <formula>0</formula>
    </cfRule>
  </conditionalFormatting>
  <conditionalFormatting sqref="L1">
    <cfRule type="cellIs" dxfId="488" priority="5" operator="greaterThan">
      <formula>0</formula>
    </cfRule>
    <cfRule type="cellIs" dxfId="487" priority="6" operator="lessThan">
      <formula>0</formula>
    </cfRule>
  </conditionalFormatting>
  <conditionalFormatting sqref="D38:AM39">
    <cfRule type="cellIs" dxfId="486" priority="4" operator="equal">
      <formula>0</formula>
    </cfRule>
  </conditionalFormatting>
  <conditionalFormatting sqref="D45:AM45">
    <cfRule type="cellIs" dxfId="485" priority="3" operator="equal">
      <formula>0</formula>
    </cfRule>
  </conditionalFormatting>
  <conditionalFormatting sqref="D42:AM42">
    <cfRule type="cellIs" dxfId="484" priority="2" operator="equal">
      <formula>0</formula>
    </cfRule>
  </conditionalFormatting>
  <conditionalFormatting sqref="D46:AM46">
    <cfRule type="cellIs" dxfId="483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4">
    <tabColor theme="4" tint="0.59999389629810485"/>
  </sheetPr>
  <dimension ref="B1:BB80"/>
  <sheetViews>
    <sheetView zoomScaleNormal="100" workbookViewId="0"/>
  </sheetViews>
  <sheetFormatPr baseColWidth="10" defaultColWidth="11.42578125" defaultRowHeight="15.75" outlineLevelRow="1" outlineLevelCol="1"/>
  <cols>
    <col min="1" max="1" width="3.5703125" style="280" customWidth="1"/>
    <col min="2" max="2" width="39.28515625" style="280" customWidth="1"/>
    <col min="3" max="3" width="11.42578125" style="280" customWidth="1"/>
    <col min="4" max="4" width="10.140625" style="280" customWidth="1"/>
    <col min="5" max="5" width="7.7109375" style="280" customWidth="1"/>
    <col min="6" max="6" width="9.7109375" style="280" customWidth="1"/>
    <col min="7" max="7" width="7.7109375" style="280" customWidth="1"/>
    <col min="8" max="8" width="9.7109375" style="280" customWidth="1"/>
    <col min="9" max="12" width="7.7109375" style="280" customWidth="1"/>
    <col min="13" max="13" width="9.5703125" style="280" customWidth="1"/>
    <col min="14" max="16" width="8.42578125" style="280" bestFit="1" customWidth="1"/>
    <col min="17" max="17" width="8.85546875" style="280" customWidth="1"/>
    <col min="18" max="28" width="8.5703125" style="280" customWidth="1" outlineLevel="1"/>
    <col min="29" max="29" width="9.28515625" style="282" customWidth="1" outlineLevel="1"/>
    <col min="30" max="42" width="11.42578125" style="280" customWidth="1" outlineLevel="1"/>
    <col min="43" max="43" width="9.42578125" style="280" customWidth="1" outlineLevel="1"/>
    <col min="44" max="55" width="11.42578125" style="280" customWidth="1"/>
    <col min="56" max="16384" width="11.42578125" style="280"/>
  </cols>
  <sheetData>
    <row r="1" spans="2:42" ht="34.5" customHeight="1" thickBot="1">
      <c r="E1" s="301" t="s">
        <v>242</v>
      </c>
      <c r="F1" s="302">
        <f>+Q58</f>
        <v>0</v>
      </c>
      <c r="G1" s="303" t="s">
        <v>243</v>
      </c>
      <c r="H1" s="302">
        <f ca="1">+Resultados!$C$25</f>
        <v>0</v>
      </c>
      <c r="I1" s="301" t="s">
        <v>244</v>
      </c>
      <c r="J1" s="304" t="str">
        <f>+'Resultado x Actividad'!$S$15</f>
        <v/>
      </c>
      <c r="K1" s="303" t="s">
        <v>245</v>
      </c>
      <c r="L1" s="302">
        <f ca="1">IF(ISERROR(+Resultados!$C$27),0,(+Resultados!$C$27))</f>
        <v>0</v>
      </c>
      <c r="M1" s="305" t="s">
        <v>246</v>
      </c>
      <c r="N1" s="302">
        <f ca="1">MIN('Tesorería mensual'!$C$47:$N$47)</f>
        <v>0</v>
      </c>
      <c r="Q1" s="273" t="s">
        <v>121</v>
      </c>
    </row>
    <row r="2" spans="2:42" ht="19.5" thickBot="1">
      <c r="B2" s="306" t="s">
        <v>385</v>
      </c>
      <c r="Q2" s="403" t="s">
        <v>383</v>
      </c>
      <c r="R2" s="616">
        <v>0.15</v>
      </c>
      <c r="S2" s="616">
        <f>+R2</f>
        <v>0.15</v>
      </c>
      <c r="T2" s="616">
        <f t="shared" ref="T2:AC2" si="0">+S2</f>
        <v>0.15</v>
      </c>
      <c r="U2" s="616">
        <f t="shared" si="0"/>
        <v>0.15</v>
      </c>
      <c r="V2" s="616">
        <f t="shared" si="0"/>
        <v>0.15</v>
      </c>
      <c r="W2" s="616">
        <f t="shared" si="0"/>
        <v>0.15</v>
      </c>
      <c r="X2" s="616">
        <f t="shared" si="0"/>
        <v>0.15</v>
      </c>
      <c r="Y2" s="616">
        <f t="shared" si="0"/>
        <v>0.15</v>
      </c>
      <c r="Z2" s="616">
        <f t="shared" si="0"/>
        <v>0.15</v>
      </c>
      <c r="AA2" s="616">
        <f t="shared" si="0"/>
        <v>0.15</v>
      </c>
      <c r="AB2" s="616">
        <f t="shared" si="0"/>
        <v>0.15</v>
      </c>
      <c r="AC2" s="616">
        <f t="shared" si="0"/>
        <v>0.15</v>
      </c>
      <c r="AD2" s="403" t="s">
        <v>383</v>
      </c>
      <c r="AE2" s="616">
        <v>0.15</v>
      </c>
      <c r="AF2" s="616">
        <f>+AE2</f>
        <v>0.15</v>
      </c>
      <c r="AG2" s="616">
        <f t="shared" ref="AG2:AP2" si="1">+AF2</f>
        <v>0.15</v>
      </c>
      <c r="AH2" s="616">
        <f t="shared" si="1"/>
        <v>0.15</v>
      </c>
      <c r="AI2" s="616">
        <f t="shared" si="1"/>
        <v>0.15</v>
      </c>
      <c r="AJ2" s="616">
        <f t="shared" si="1"/>
        <v>0.15</v>
      </c>
      <c r="AK2" s="616">
        <f t="shared" si="1"/>
        <v>0.15</v>
      </c>
      <c r="AL2" s="616">
        <f t="shared" si="1"/>
        <v>0.15</v>
      </c>
      <c r="AM2" s="616">
        <f t="shared" si="1"/>
        <v>0.15</v>
      </c>
      <c r="AN2" s="616">
        <f t="shared" si="1"/>
        <v>0.15</v>
      </c>
      <c r="AO2" s="616">
        <f t="shared" si="1"/>
        <v>0.15</v>
      </c>
      <c r="AP2" s="616">
        <f t="shared" si="1"/>
        <v>0.15</v>
      </c>
    </row>
    <row r="3" spans="2:42" ht="21.75" thickBot="1">
      <c r="B3" s="1256" t="s">
        <v>109</v>
      </c>
      <c r="C3" s="1256"/>
      <c r="E3" s="1225" t="s">
        <v>444</v>
      </c>
      <c r="F3" s="1226"/>
      <c r="G3" s="1226"/>
      <c r="H3" s="1226"/>
      <c r="I3" s="1226"/>
      <c r="J3" s="1226"/>
      <c r="K3" s="1226"/>
      <c r="L3" s="1226"/>
      <c r="M3" s="1226"/>
      <c r="N3" s="1226"/>
      <c r="O3" s="1226"/>
      <c r="P3" s="1227"/>
      <c r="Q3" s="400" t="s">
        <v>122</v>
      </c>
      <c r="R3" s="1225" t="s">
        <v>445</v>
      </c>
      <c r="S3" s="1226"/>
      <c r="T3" s="1226"/>
      <c r="U3" s="1226"/>
      <c r="V3" s="1226"/>
      <c r="W3" s="1226"/>
      <c r="X3" s="1226"/>
      <c r="Y3" s="1226"/>
      <c r="Z3" s="1226"/>
      <c r="AA3" s="1226"/>
      <c r="AB3" s="1226"/>
      <c r="AC3" s="1227"/>
      <c r="AD3" s="400" t="s">
        <v>123</v>
      </c>
      <c r="AE3" s="1225" t="s">
        <v>446</v>
      </c>
      <c r="AF3" s="1226"/>
      <c r="AG3" s="1226"/>
      <c r="AH3" s="1226"/>
      <c r="AI3" s="1226"/>
      <c r="AJ3" s="1226"/>
      <c r="AK3" s="1226"/>
      <c r="AL3" s="1226"/>
      <c r="AM3" s="1226"/>
      <c r="AN3" s="1226"/>
      <c r="AO3" s="1226"/>
      <c r="AP3" s="1227"/>
    </row>
    <row r="4" spans="2:42" ht="75">
      <c r="B4" s="283" t="s">
        <v>68</v>
      </c>
      <c r="C4" s="284" t="s">
        <v>76</v>
      </c>
      <c r="E4" s="806">
        <f>+E42</f>
        <v>44197</v>
      </c>
      <c r="F4" s="806">
        <f>+F42</f>
        <v>44228</v>
      </c>
      <c r="G4" s="806">
        <f>+G42</f>
        <v>44256</v>
      </c>
      <c r="H4" s="806">
        <f t="shared" ref="H4:AP4" si="2">+H42</f>
        <v>44287</v>
      </c>
      <c r="I4" s="806">
        <f t="shared" si="2"/>
        <v>44317</v>
      </c>
      <c r="J4" s="806">
        <f t="shared" si="2"/>
        <v>44348</v>
      </c>
      <c r="K4" s="806">
        <f t="shared" si="2"/>
        <v>44378</v>
      </c>
      <c r="L4" s="806">
        <f t="shared" si="2"/>
        <v>44409</v>
      </c>
      <c r="M4" s="806">
        <f t="shared" si="2"/>
        <v>44440</v>
      </c>
      <c r="N4" s="806">
        <f t="shared" si="2"/>
        <v>44470</v>
      </c>
      <c r="O4" s="806">
        <f t="shared" si="2"/>
        <v>44501</v>
      </c>
      <c r="P4" s="806">
        <f t="shared" si="2"/>
        <v>44531</v>
      </c>
      <c r="Q4" s="401" t="s">
        <v>76</v>
      </c>
      <c r="R4" s="806">
        <f t="shared" si="2"/>
        <v>44562</v>
      </c>
      <c r="S4" s="806">
        <f t="shared" si="2"/>
        <v>44593</v>
      </c>
      <c r="T4" s="806">
        <f t="shared" si="2"/>
        <v>44621</v>
      </c>
      <c r="U4" s="806">
        <f t="shared" si="2"/>
        <v>44652</v>
      </c>
      <c r="V4" s="806">
        <f t="shared" si="2"/>
        <v>44682</v>
      </c>
      <c r="W4" s="806">
        <f t="shared" si="2"/>
        <v>44713</v>
      </c>
      <c r="X4" s="806">
        <f t="shared" si="2"/>
        <v>44743</v>
      </c>
      <c r="Y4" s="806">
        <f t="shared" si="2"/>
        <v>44774</v>
      </c>
      <c r="Z4" s="806">
        <f t="shared" si="2"/>
        <v>44805</v>
      </c>
      <c r="AA4" s="806">
        <f t="shared" si="2"/>
        <v>44835</v>
      </c>
      <c r="AB4" s="806">
        <f t="shared" si="2"/>
        <v>44866</v>
      </c>
      <c r="AC4" s="806">
        <f t="shared" si="2"/>
        <v>44896</v>
      </c>
      <c r="AD4" s="401" t="s">
        <v>76</v>
      </c>
      <c r="AE4" s="806">
        <f t="shared" si="2"/>
        <v>44927</v>
      </c>
      <c r="AF4" s="806">
        <f t="shared" si="2"/>
        <v>44958</v>
      </c>
      <c r="AG4" s="806">
        <f t="shared" si="2"/>
        <v>44986</v>
      </c>
      <c r="AH4" s="806">
        <f t="shared" si="2"/>
        <v>45017</v>
      </c>
      <c r="AI4" s="806">
        <f t="shared" si="2"/>
        <v>45047</v>
      </c>
      <c r="AJ4" s="806">
        <f t="shared" si="2"/>
        <v>45078</v>
      </c>
      <c r="AK4" s="806">
        <f t="shared" si="2"/>
        <v>45108</v>
      </c>
      <c r="AL4" s="806">
        <f t="shared" si="2"/>
        <v>45139</v>
      </c>
      <c r="AM4" s="806">
        <f t="shared" si="2"/>
        <v>45170</v>
      </c>
      <c r="AN4" s="806">
        <f t="shared" si="2"/>
        <v>45200</v>
      </c>
      <c r="AO4" s="806">
        <f t="shared" si="2"/>
        <v>45231</v>
      </c>
      <c r="AP4" s="806">
        <f t="shared" si="2"/>
        <v>45261</v>
      </c>
    </row>
    <row r="5" spans="2:42">
      <c r="B5" s="307">
        <f t="shared" ref="B5:B19" si="3">+B43</f>
        <v>0</v>
      </c>
      <c r="C5" s="308">
        <f>+Catálogo!C6</f>
        <v>0</v>
      </c>
      <c r="E5" s="9">
        <v>0</v>
      </c>
      <c r="F5" s="9">
        <v>0</v>
      </c>
      <c r="G5" s="9">
        <v>0</v>
      </c>
      <c r="H5" s="9">
        <v>0</v>
      </c>
      <c r="I5" s="9">
        <v>0</v>
      </c>
      <c r="J5" s="9">
        <v>0</v>
      </c>
      <c r="K5" s="9">
        <v>0</v>
      </c>
      <c r="L5" s="9">
        <v>0</v>
      </c>
      <c r="M5" s="9">
        <v>0</v>
      </c>
      <c r="N5" s="9">
        <v>0</v>
      </c>
      <c r="O5" s="9">
        <v>0</v>
      </c>
      <c r="P5" s="9">
        <v>0</v>
      </c>
      <c r="Q5" s="308">
        <f>+Catálogo!C25</f>
        <v>0</v>
      </c>
      <c r="R5" s="9">
        <f t="shared" ref="R5" si="4">+E5*(1+R$2)</f>
        <v>0</v>
      </c>
      <c r="S5" s="9">
        <f t="shared" ref="S5" si="5">+F5*(1+S$2)</f>
        <v>0</v>
      </c>
      <c r="T5" s="9">
        <f t="shared" ref="T5" si="6">+G5*(1+T$2)</f>
        <v>0</v>
      </c>
      <c r="U5" s="9">
        <f t="shared" ref="U5" si="7">+H5*(1+U$2)</f>
        <v>0</v>
      </c>
      <c r="V5" s="9">
        <f t="shared" ref="V5" si="8">+I5*(1+V$2)</f>
        <v>0</v>
      </c>
      <c r="W5" s="9">
        <f t="shared" ref="W5" si="9">+J5*(1+W$2)</f>
        <v>0</v>
      </c>
      <c r="X5" s="9">
        <f t="shared" ref="X5" si="10">+K5*(1+X$2)</f>
        <v>0</v>
      </c>
      <c r="Y5" s="9">
        <f t="shared" ref="Y5" si="11">+L5*(1+Y$2)</f>
        <v>0</v>
      </c>
      <c r="Z5" s="9">
        <f t="shared" ref="Z5" si="12">+M5*(1+Z$2)</f>
        <v>0</v>
      </c>
      <c r="AA5" s="9">
        <f t="shared" ref="AA5" si="13">+N5*(1+AA$2)</f>
        <v>0</v>
      </c>
      <c r="AB5" s="9">
        <f t="shared" ref="AB5" si="14">+O5*(1+AB$2)</f>
        <v>0</v>
      </c>
      <c r="AC5" s="9">
        <f t="shared" ref="AC5" si="15">+P5*(1+AC$2)</f>
        <v>0</v>
      </c>
      <c r="AD5" s="308">
        <f>+Catálogo!C43</f>
        <v>0</v>
      </c>
      <c r="AE5" s="9">
        <f t="shared" ref="AE5" si="16">+R5*(1+AE$2)</f>
        <v>0</v>
      </c>
      <c r="AF5" s="9">
        <f t="shared" ref="AF5" si="17">+S5*(1+AF$2)</f>
        <v>0</v>
      </c>
      <c r="AG5" s="9">
        <f t="shared" ref="AG5" si="18">+T5*(1+AG$2)</f>
        <v>0</v>
      </c>
      <c r="AH5" s="9">
        <f t="shared" ref="AH5" si="19">+U5*(1+AH$2)</f>
        <v>0</v>
      </c>
      <c r="AI5" s="9">
        <f t="shared" ref="AI5" si="20">+V5*(1+AI$2)</f>
        <v>0</v>
      </c>
      <c r="AJ5" s="9">
        <f t="shared" ref="AJ5" si="21">+W5*(1+AJ$2)</f>
        <v>0</v>
      </c>
      <c r="AK5" s="9">
        <f t="shared" ref="AK5" si="22">+X5*(1+AK$2)</f>
        <v>0</v>
      </c>
      <c r="AL5" s="9">
        <f t="shared" ref="AL5" si="23">+Y5*(1+AL$2)</f>
        <v>0</v>
      </c>
      <c r="AM5" s="9">
        <f t="shared" ref="AM5" si="24">+Z5*(1+AM$2)</f>
        <v>0</v>
      </c>
      <c r="AN5" s="9">
        <f t="shared" ref="AN5" si="25">+AA5*(1+AN$2)</f>
        <v>0</v>
      </c>
      <c r="AO5" s="9">
        <f t="shared" ref="AO5" si="26">+AB5*(1+AO$2)</f>
        <v>0</v>
      </c>
      <c r="AP5" s="9">
        <f t="shared" ref="AP5" si="27">+AC5*(1+AP$2)</f>
        <v>0</v>
      </c>
    </row>
    <row r="6" spans="2:42">
      <c r="B6" s="307">
        <f t="shared" si="3"/>
        <v>0</v>
      </c>
      <c r="C6" s="308">
        <f>+Catálogo!C7</f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308">
        <f>+Catálogo!C26</f>
        <v>0</v>
      </c>
      <c r="R6" s="9">
        <f t="shared" ref="R6" si="28">+E6*(1+R$2)</f>
        <v>0</v>
      </c>
      <c r="S6" s="9">
        <f t="shared" ref="S6:AC7" si="29">+F6*(1+S$2)</f>
        <v>0</v>
      </c>
      <c r="T6" s="9">
        <f t="shared" ref="T6:T7" si="30">+G6*(1+T$2)</f>
        <v>0</v>
      </c>
      <c r="U6" s="9">
        <f t="shared" si="29"/>
        <v>0</v>
      </c>
      <c r="V6" s="9">
        <f t="shared" si="29"/>
        <v>0</v>
      </c>
      <c r="W6" s="9">
        <f t="shared" si="29"/>
        <v>0</v>
      </c>
      <c r="X6" s="9">
        <f t="shared" si="29"/>
        <v>0</v>
      </c>
      <c r="Y6" s="9">
        <f t="shared" si="29"/>
        <v>0</v>
      </c>
      <c r="Z6" s="9">
        <f t="shared" si="29"/>
        <v>0</v>
      </c>
      <c r="AA6" s="9">
        <f t="shared" si="29"/>
        <v>0</v>
      </c>
      <c r="AB6" s="9">
        <f t="shared" si="29"/>
        <v>0</v>
      </c>
      <c r="AC6" s="9">
        <f t="shared" si="29"/>
        <v>0</v>
      </c>
      <c r="AD6" s="308">
        <f>+Catálogo!C44</f>
        <v>0</v>
      </c>
      <c r="AE6" s="9">
        <f t="shared" ref="AE6" si="31">+R6*(1+AE$2)</f>
        <v>0</v>
      </c>
      <c r="AF6" s="9">
        <f t="shared" ref="AF6" si="32">+S6*(1+AF$2)</f>
        <v>0</v>
      </c>
      <c r="AG6" s="9">
        <f t="shared" ref="AG6" si="33">+T6*(1+AG$2)</f>
        <v>0</v>
      </c>
      <c r="AH6" s="9">
        <f t="shared" ref="AH6" si="34">+U6*(1+AH$2)</f>
        <v>0</v>
      </c>
      <c r="AI6" s="9">
        <f t="shared" ref="AI6" si="35">+V6*(1+AI$2)</f>
        <v>0</v>
      </c>
      <c r="AJ6" s="9">
        <f t="shared" ref="AJ6" si="36">+W6*(1+AJ$2)</f>
        <v>0</v>
      </c>
      <c r="AK6" s="9">
        <f t="shared" ref="AK6" si="37">+X6*(1+AK$2)</f>
        <v>0</v>
      </c>
      <c r="AL6" s="9">
        <f t="shared" ref="AL6" si="38">+Y6*(1+AL$2)</f>
        <v>0</v>
      </c>
      <c r="AM6" s="9">
        <f t="shared" ref="AM6" si="39">+Z6*(1+AM$2)</f>
        <v>0</v>
      </c>
      <c r="AN6" s="9">
        <f t="shared" ref="AN6" si="40">+AA6*(1+AN$2)</f>
        <v>0</v>
      </c>
      <c r="AO6" s="9">
        <f t="shared" ref="AO6" si="41">+AB6*(1+AO$2)</f>
        <v>0</v>
      </c>
      <c r="AP6" s="9">
        <f t="shared" ref="AP6" si="42">+AC6*(1+AP$2)</f>
        <v>0</v>
      </c>
    </row>
    <row r="7" spans="2:42">
      <c r="B7" s="307">
        <f t="shared" si="3"/>
        <v>0</v>
      </c>
      <c r="C7" s="308">
        <f>+Catálogo!C8</f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308">
        <f>+Catálogo!C27</f>
        <v>0</v>
      </c>
      <c r="R7" s="9">
        <f t="shared" ref="R7" si="43">+E7*(1+R$2)</f>
        <v>0</v>
      </c>
      <c r="S7" s="9">
        <f t="shared" ref="S7" si="44">+F7*(1+S$2)</f>
        <v>0</v>
      </c>
      <c r="T7" s="9">
        <f t="shared" si="30"/>
        <v>0</v>
      </c>
      <c r="U7" s="9">
        <f t="shared" ref="U7" si="45">+H7*(1+U$2)</f>
        <v>0</v>
      </c>
      <c r="V7" s="9">
        <f t="shared" si="29"/>
        <v>0</v>
      </c>
      <c r="W7" s="9">
        <f t="shared" ref="W7" si="46">+J7*(1+W$2)</f>
        <v>0</v>
      </c>
      <c r="X7" s="9">
        <f t="shared" ref="X7" si="47">+K7*(1+X$2)</f>
        <v>0</v>
      </c>
      <c r="Y7" s="9">
        <f t="shared" ref="Y7" si="48">+L7*(1+Y$2)</f>
        <v>0</v>
      </c>
      <c r="Z7" s="9">
        <f t="shared" ref="Z7" si="49">+M7*(1+Z$2)</f>
        <v>0</v>
      </c>
      <c r="AA7" s="9">
        <f t="shared" ref="AA7" si="50">+N7*(1+AA$2)</f>
        <v>0</v>
      </c>
      <c r="AB7" s="9">
        <f t="shared" ref="AB7" si="51">+O7*(1+AB$2)</f>
        <v>0</v>
      </c>
      <c r="AC7" s="9">
        <f t="shared" ref="AC7" si="52">+P7*(1+AC$2)</f>
        <v>0</v>
      </c>
      <c r="AD7" s="308">
        <f>+Catálogo!C45</f>
        <v>0</v>
      </c>
      <c r="AE7" s="9">
        <f t="shared" ref="AE7" si="53">+R7*(1+AE$2)</f>
        <v>0</v>
      </c>
      <c r="AF7" s="9">
        <f t="shared" ref="AF7" si="54">+S7*(1+AF$2)</f>
        <v>0</v>
      </c>
      <c r="AG7" s="9">
        <f t="shared" ref="AG7" si="55">+T7*(1+AG$2)</f>
        <v>0</v>
      </c>
      <c r="AH7" s="9">
        <f t="shared" ref="AH7" si="56">+U7*(1+AH$2)</f>
        <v>0</v>
      </c>
      <c r="AI7" s="9">
        <f t="shared" ref="AI7" si="57">+V7*(1+AI$2)</f>
        <v>0</v>
      </c>
      <c r="AJ7" s="9">
        <f t="shared" ref="AJ7" si="58">+W7*(1+AJ$2)</f>
        <v>0</v>
      </c>
      <c r="AK7" s="9">
        <f t="shared" ref="AK7" si="59">+X7*(1+AK$2)</f>
        <v>0</v>
      </c>
      <c r="AL7" s="9">
        <f t="shared" ref="AL7" si="60">+Y7*(1+AL$2)</f>
        <v>0</v>
      </c>
      <c r="AM7" s="9">
        <f t="shared" ref="AM7" si="61">+Z7*(1+AM$2)</f>
        <v>0</v>
      </c>
      <c r="AN7" s="9">
        <f t="shared" ref="AN7" si="62">+AA7*(1+AN$2)</f>
        <v>0</v>
      </c>
      <c r="AO7" s="9">
        <f t="shared" ref="AO7" si="63">+AB7*(1+AO$2)</f>
        <v>0</v>
      </c>
      <c r="AP7" s="9">
        <f t="shared" ref="AP7" si="64">+AC7*(1+AP$2)</f>
        <v>0</v>
      </c>
    </row>
    <row r="8" spans="2:42">
      <c r="B8" s="307">
        <f t="shared" si="3"/>
        <v>0</v>
      </c>
      <c r="C8" s="308">
        <f>+Catálogo!C9</f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308">
        <f>+Catálogo!C28</f>
        <v>0</v>
      </c>
      <c r="R8" s="9">
        <f t="shared" ref="R8:R19" si="65">+E8*(1+R$2)</f>
        <v>0</v>
      </c>
      <c r="S8" s="9">
        <f t="shared" ref="S8:S19" si="66">+F8*(1+S$2)</f>
        <v>0</v>
      </c>
      <c r="T8" s="9">
        <f t="shared" ref="T8:T19" si="67">+G8*(1+T$2)</f>
        <v>0</v>
      </c>
      <c r="U8" s="9">
        <f t="shared" ref="U8:U19" si="68">+H8*(1+U$2)</f>
        <v>0</v>
      </c>
      <c r="V8" s="9">
        <f t="shared" ref="V8:V19" si="69">+I8*(1+V$2)</f>
        <v>0</v>
      </c>
      <c r="W8" s="9">
        <f t="shared" ref="W8:W19" si="70">+J8*(1+W$2)</f>
        <v>0</v>
      </c>
      <c r="X8" s="9">
        <f t="shared" ref="X8:X19" si="71">+K8*(1+X$2)</f>
        <v>0</v>
      </c>
      <c r="Y8" s="9">
        <f t="shared" ref="Y8:Y19" si="72">+L8*(1+Y$2)</f>
        <v>0</v>
      </c>
      <c r="Z8" s="9">
        <f t="shared" ref="Z8:Z19" si="73">+M8*(1+Z$2)</f>
        <v>0</v>
      </c>
      <c r="AA8" s="9">
        <f t="shared" ref="AA8:AA19" si="74">+N8*(1+AA$2)</f>
        <v>0</v>
      </c>
      <c r="AB8" s="9">
        <f t="shared" ref="AB8:AB19" si="75">+O8*(1+AB$2)</f>
        <v>0</v>
      </c>
      <c r="AC8" s="9">
        <f t="shared" ref="AC8:AC19" si="76">+P8*(1+AC$2)</f>
        <v>0</v>
      </c>
      <c r="AD8" s="308">
        <f>+Catálogo!C46</f>
        <v>0</v>
      </c>
      <c r="AE8" s="9">
        <f t="shared" ref="AE8:AE19" si="77">+R8*(1+AE$2)</f>
        <v>0</v>
      </c>
      <c r="AF8" s="9">
        <f t="shared" ref="AF8:AF19" si="78">+S8*(1+AF$2)</f>
        <v>0</v>
      </c>
      <c r="AG8" s="9">
        <f t="shared" ref="AG8:AG19" si="79">+T8*(1+AG$2)</f>
        <v>0</v>
      </c>
      <c r="AH8" s="9">
        <f t="shared" ref="AH8:AH19" si="80">+U8*(1+AH$2)</f>
        <v>0</v>
      </c>
      <c r="AI8" s="9">
        <f t="shared" ref="AI8:AI19" si="81">+V8*(1+AI$2)</f>
        <v>0</v>
      </c>
      <c r="AJ8" s="9">
        <f t="shared" ref="AJ8:AJ19" si="82">+W8*(1+AJ$2)</f>
        <v>0</v>
      </c>
      <c r="AK8" s="9">
        <f t="shared" ref="AK8:AK19" si="83">+X8*(1+AK$2)</f>
        <v>0</v>
      </c>
      <c r="AL8" s="9">
        <f t="shared" ref="AL8:AL19" si="84">+Y8*(1+AL$2)</f>
        <v>0</v>
      </c>
      <c r="AM8" s="9">
        <f t="shared" ref="AM8:AM19" si="85">+Z8*(1+AM$2)</f>
        <v>0</v>
      </c>
      <c r="AN8" s="9">
        <f t="shared" ref="AN8:AN19" si="86">+AA8*(1+AN$2)</f>
        <v>0</v>
      </c>
      <c r="AO8" s="9">
        <f t="shared" ref="AO8:AO19" si="87">+AB8*(1+AO$2)</f>
        <v>0</v>
      </c>
      <c r="AP8" s="9">
        <f t="shared" ref="AP8:AP19" si="88">+AC8*(1+AP$2)</f>
        <v>0</v>
      </c>
    </row>
    <row r="9" spans="2:42">
      <c r="B9" s="307">
        <f t="shared" si="3"/>
        <v>0</v>
      </c>
      <c r="C9" s="308">
        <f>+Catálogo!C10</f>
        <v>0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  <c r="Q9" s="308">
        <f>+Catálogo!C29</f>
        <v>0</v>
      </c>
      <c r="R9" s="9">
        <f t="shared" si="65"/>
        <v>0</v>
      </c>
      <c r="S9" s="9">
        <f t="shared" si="66"/>
        <v>0</v>
      </c>
      <c r="T9" s="9">
        <f t="shared" si="67"/>
        <v>0</v>
      </c>
      <c r="U9" s="9">
        <f t="shared" si="68"/>
        <v>0</v>
      </c>
      <c r="V9" s="9">
        <f t="shared" si="69"/>
        <v>0</v>
      </c>
      <c r="W9" s="9">
        <f t="shared" si="70"/>
        <v>0</v>
      </c>
      <c r="X9" s="9">
        <f t="shared" si="71"/>
        <v>0</v>
      </c>
      <c r="Y9" s="9">
        <f t="shared" si="72"/>
        <v>0</v>
      </c>
      <c r="Z9" s="9">
        <f t="shared" si="73"/>
        <v>0</v>
      </c>
      <c r="AA9" s="9">
        <f t="shared" si="74"/>
        <v>0</v>
      </c>
      <c r="AB9" s="9">
        <f t="shared" si="75"/>
        <v>0</v>
      </c>
      <c r="AC9" s="9">
        <f t="shared" si="76"/>
        <v>0</v>
      </c>
      <c r="AD9" s="308">
        <f>+Catálogo!C47</f>
        <v>0</v>
      </c>
      <c r="AE9" s="9">
        <f t="shared" si="77"/>
        <v>0</v>
      </c>
      <c r="AF9" s="9">
        <f t="shared" si="78"/>
        <v>0</v>
      </c>
      <c r="AG9" s="9">
        <f t="shared" si="79"/>
        <v>0</v>
      </c>
      <c r="AH9" s="9">
        <f t="shared" si="80"/>
        <v>0</v>
      </c>
      <c r="AI9" s="9">
        <f t="shared" si="81"/>
        <v>0</v>
      </c>
      <c r="AJ9" s="9">
        <f t="shared" si="82"/>
        <v>0</v>
      </c>
      <c r="AK9" s="9">
        <f t="shared" si="83"/>
        <v>0</v>
      </c>
      <c r="AL9" s="9">
        <f t="shared" si="84"/>
        <v>0</v>
      </c>
      <c r="AM9" s="9">
        <f t="shared" si="85"/>
        <v>0</v>
      </c>
      <c r="AN9" s="9">
        <f t="shared" si="86"/>
        <v>0</v>
      </c>
      <c r="AO9" s="9">
        <f t="shared" si="87"/>
        <v>0</v>
      </c>
      <c r="AP9" s="9">
        <f t="shared" si="88"/>
        <v>0</v>
      </c>
    </row>
    <row r="10" spans="2:42" hidden="1" outlineLevel="1">
      <c r="B10" s="307">
        <f t="shared" si="3"/>
        <v>0</v>
      </c>
      <c r="C10" s="308">
        <f>+Catálogo!C11</f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308">
        <f>+Catálogo!C30</f>
        <v>0</v>
      </c>
      <c r="R10" s="9">
        <f t="shared" si="65"/>
        <v>0</v>
      </c>
      <c r="S10" s="9">
        <f t="shared" si="66"/>
        <v>0</v>
      </c>
      <c r="T10" s="9">
        <f t="shared" si="67"/>
        <v>0</v>
      </c>
      <c r="U10" s="9">
        <f t="shared" si="68"/>
        <v>0</v>
      </c>
      <c r="V10" s="9">
        <f t="shared" si="69"/>
        <v>0</v>
      </c>
      <c r="W10" s="9">
        <f t="shared" si="70"/>
        <v>0</v>
      </c>
      <c r="X10" s="9">
        <f t="shared" si="71"/>
        <v>0</v>
      </c>
      <c r="Y10" s="9">
        <f t="shared" si="72"/>
        <v>0</v>
      </c>
      <c r="Z10" s="9">
        <f t="shared" si="73"/>
        <v>0</v>
      </c>
      <c r="AA10" s="9">
        <f t="shared" si="74"/>
        <v>0</v>
      </c>
      <c r="AB10" s="9">
        <f t="shared" si="75"/>
        <v>0</v>
      </c>
      <c r="AC10" s="9">
        <f t="shared" si="76"/>
        <v>0</v>
      </c>
      <c r="AD10" s="308">
        <f>+Catálogo!C48</f>
        <v>0</v>
      </c>
      <c r="AE10" s="9">
        <f t="shared" si="77"/>
        <v>0</v>
      </c>
      <c r="AF10" s="9">
        <f t="shared" si="78"/>
        <v>0</v>
      </c>
      <c r="AG10" s="9">
        <f t="shared" si="79"/>
        <v>0</v>
      </c>
      <c r="AH10" s="9">
        <f t="shared" si="80"/>
        <v>0</v>
      </c>
      <c r="AI10" s="9">
        <f t="shared" si="81"/>
        <v>0</v>
      </c>
      <c r="AJ10" s="9">
        <f t="shared" si="82"/>
        <v>0</v>
      </c>
      <c r="AK10" s="9">
        <f t="shared" si="83"/>
        <v>0</v>
      </c>
      <c r="AL10" s="9">
        <f t="shared" si="84"/>
        <v>0</v>
      </c>
      <c r="AM10" s="9">
        <f t="shared" si="85"/>
        <v>0</v>
      </c>
      <c r="AN10" s="9">
        <f t="shared" si="86"/>
        <v>0</v>
      </c>
      <c r="AO10" s="9">
        <f t="shared" si="87"/>
        <v>0</v>
      </c>
      <c r="AP10" s="9">
        <f t="shared" si="88"/>
        <v>0</v>
      </c>
    </row>
    <row r="11" spans="2:42" hidden="1" outlineLevel="1">
      <c r="B11" s="307">
        <f t="shared" si="3"/>
        <v>0</v>
      </c>
      <c r="C11" s="308">
        <f>+Catálogo!C12</f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308">
        <f>+Catálogo!C31</f>
        <v>0</v>
      </c>
      <c r="R11" s="9">
        <f t="shared" si="65"/>
        <v>0</v>
      </c>
      <c r="S11" s="9">
        <f t="shared" si="66"/>
        <v>0</v>
      </c>
      <c r="T11" s="9">
        <f t="shared" si="67"/>
        <v>0</v>
      </c>
      <c r="U11" s="9">
        <f t="shared" si="68"/>
        <v>0</v>
      </c>
      <c r="V11" s="9">
        <f t="shared" si="69"/>
        <v>0</v>
      </c>
      <c r="W11" s="9">
        <f t="shared" si="70"/>
        <v>0</v>
      </c>
      <c r="X11" s="9">
        <f t="shared" si="71"/>
        <v>0</v>
      </c>
      <c r="Y11" s="9">
        <f t="shared" si="72"/>
        <v>0</v>
      </c>
      <c r="Z11" s="9">
        <f t="shared" si="73"/>
        <v>0</v>
      </c>
      <c r="AA11" s="9">
        <f t="shared" si="74"/>
        <v>0</v>
      </c>
      <c r="AB11" s="9">
        <f t="shared" si="75"/>
        <v>0</v>
      </c>
      <c r="AC11" s="9">
        <f t="shared" si="76"/>
        <v>0</v>
      </c>
      <c r="AD11" s="308">
        <f>+Catálogo!C49</f>
        <v>0</v>
      </c>
      <c r="AE11" s="9">
        <f t="shared" si="77"/>
        <v>0</v>
      </c>
      <c r="AF11" s="9">
        <f t="shared" si="78"/>
        <v>0</v>
      </c>
      <c r="AG11" s="9">
        <f t="shared" si="79"/>
        <v>0</v>
      </c>
      <c r="AH11" s="9">
        <f t="shared" si="80"/>
        <v>0</v>
      </c>
      <c r="AI11" s="9">
        <f t="shared" si="81"/>
        <v>0</v>
      </c>
      <c r="AJ11" s="9">
        <f t="shared" si="82"/>
        <v>0</v>
      </c>
      <c r="AK11" s="9">
        <f t="shared" si="83"/>
        <v>0</v>
      </c>
      <c r="AL11" s="9">
        <f t="shared" si="84"/>
        <v>0</v>
      </c>
      <c r="AM11" s="9">
        <f t="shared" si="85"/>
        <v>0</v>
      </c>
      <c r="AN11" s="9">
        <f t="shared" si="86"/>
        <v>0</v>
      </c>
      <c r="AO11" s="9">
        <f t="shared" si="87"/>
        <v>0</v>
      </c>
      <c r="AP11" s="9">
        <f t="shared" si="88"/>
        <v>0</v>
      </c>
    </row>
    <row r="12" spans="2:42" hidden="1" outlineLevel="1">
      <c r="B12" s="307">
        <f t="shared" si="3"/>
        <v>0</v>
      </c>
      <c r="C12" s="308">
        <f>+Catálogo!C13</f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308">
        <f>+Catálogo!C32</f>
        <v>0</v>
      </c>
      <c r="R12" s="9">
        <f t="shared" si="65"/>
        <v>0</v>
      </c>
      <c r="S12" s="9">
        <f t="shared" si="66"/>
        <v>0</v>
      </c>
      <c r="T12" s="9">
        <f t="shared" si="67"/>
        <v>0</v>
      </c>
      <c r="U12" s="9">
        <f t="shared" si="68"/>
        <v>0</v>
      </c>
      <c r="V12" s="9">
        <f t="shared" si="69"/>
        <v>0</v>
      </c>
      <c r="W12" s="9">
        <f t="shared" si="70"/>
        <v>0</v>
      </c>
      <c r="X12" s="9">
        <f t="shared" si="71"/>
        <v>0</v>
      </c>
      <c r="Y12" s="9">
        <f t="shared" si="72"/>
        <v>0</v>
      </c>
      <c r="Z12" s="9">
        <f t="shared" si="73"/>
        <v>0</v>
      </c>
      <c r="AA12" s="9">
        <f t="shared" si="74"/>
        <v>0</v>
      </c>
      <c r="AB12" s="9">
        <f t="shared" si="75"/>
        <v>0</v>
      </c>
      <c r="AC12" s="9">
        <f t="shared" si="76"/>
        <v>0</v>
      </c>
      <c r="AD12" s="308">
        <f>+Catálogo!C50</f>
        <v>0</v>
      </c>
      <c r="AE12" s="9">
        <f t="shared" si="77"/>
        <v>0</v>
      </c>
      <c r="AF12" s="9">
        <f t="shared" si="78"/>
        <v>0</v>
      </c>
      <c r="AG12" s="9">
        <f t="shared" si="79"/>
        <v>0</v>
      </c>
      <c r="AH12" s="9">
        <f t="shared" si="80"/>
        <v>0</v>
      </c>
      <c r="AI12" s="9">
        <f t="shared" si="81"/>
        <v>0</v>
      </c>
      <c r="AJ12" s="9">
        <f t="shared" si="82"/>
        <v>0</v>
      </c>
      <c r="AK12" s="9">
        <f t="shared" si="83"/>
        <v>0</v>
      </c>
      <c r="AL12" s="9">
        <f t="shared" si="84"/>
        <v>0</v>
      </c>
      <c r="AM12" s="9">
        <f t="shared" si="85"/>
        <v>0</v>
      </c>
      <c r="AN12" s="9">
        <f t="shared" si="86"/>
        <v>0</v>
      </c>
      <c r="AO12" s="9">
        <f t="shared" si="87"/>
        <v>0</v>
      </c>
      <c r="AP12" s="9">
        <f t="shared" si="88"/>
        <v>0</v>
      </c>
    </row>
    <row r="13" spans="2:42" hidden="1" outlineLevel="1">
      <c r="B13" s="307">
        <f t="shared" si="3"/>
        <v>0</v>
      </c>
      <c r="C13" s="308">
        <f>+Catálogo!C14</f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308">
        <f>+Catálogo!C33</f>
        <v>0</v>
      </c>
      <c r="R13" s="9">
        <f t="shared" si="65"/>
        <v>0</v>
      </c>
      <c r="S13" s="9">
        <f t="shared" si="66"/>
        <v>0</v>
      </c>
      <c r="T13" s="9">
        <f t="shared" si="67"/>
        <v>0</v>
      </c>
      <c r="U13" s="9">
        <f t="shared" si="68"/>
        <v>0</v>
      </c>
      <c r="V13" s="9">
        <f t="shared" si="69"/>
        <v>0</v>
      </c>
      <c r="W13" s="9">
        <f t="shared" si="70"/>
        <v>0</v>
      </c>
      <c r="X13" s="9">
        <f t="shared" si="71"/>
        <v>0</v>
      </c>
      <c r="Y13" s="9">
        <f t="shared" si="72"/>
        <v>0</v>
      </c>
      <c r="Z13" s="9">
        <f t="shared" si="73"/>
        <v>0</v>
      </c>
      <c r="AA13" s="9">
        <f t="shared" si="74"/>
        <v>0</v>
      </c>
      <c r="AB13" s="9">
        <f t="shared" si="75"/>
        <v>0</v>
      </c>
      <c r="AC13" s="9">
        <f t="shared" si="76"/>
        <v>0</v>
      </c>
      <c r="AD13" s="308">
        <f>+Catálogo!C51</f>
        <v>0</v>
      </c>
      <c r="AE13" s="9">
        <f t="shared" si="77"/>
        <v>0</v>
      </c>
      <c r="AF13" s="9">
        <f t="shared" si="78"/>
        <v>0</v>
      </c>
      <c r="AG13" s="9">
        <f t="shared" si="79"/>
        <v>0</v>
      </c>
      <c r="AH13" s="9">
        <f t="shared" si="80"/>
        <v>0</v>
      </c>
      <c r="AI13" s="9">
        <f t="shared" si="81"/>
        <v>0</v>
      </c>
      <c r="AJ13" s="9">
        <f t="shared" si="82"/>
        <v>0</v>
      </c>
      <c r="AK13" s="9">
        <f t="shared" si="83"/>
        <v>0</v>
      </c>
      <c r="AL13" s="9">
        <f t="shared" si="84"/>
        <v>0</v>
      </c>
      <c r="AM13" s="9">
        <f t="shared" si="85"/>
        <v>0</v>
      </c>
      <c r="AN13" s="9">
        <f t="shared" si="86"/>
        <v>0</v>
      </c>
      <c r="AO13" s="9">
        <f t="shared" si="87"/>
        <v>0</v>
      </c>
      <c r="AP13" s="9">
        <f t="shared" si="88"/>
        <v>0</v>
      </c>
    </row>
    <row r="14" spans="2:42" hidden="1" outlineLevel="1">
      <c r="B14" s="307">
        <f t="shared" si="3"/>
        <v>0</v>
      </c>
      <c r="C14" s="308">
        <f>+Catálogo!C15</f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308">
        <f>+Catálogo!C34</f>
        <v>0</v>
      </c>
      <c r="R14" s="9">
        <f t="shared" si="65"/>
        <v>0</v>
      </c>
      <c r="S14" s="9">
        <f t="shared" si="66"/>
        <v>0</v>
      </c>
      <c r="T14" s="9">
        <f t="shared" si="67"/>
        <v>0</v>
      </c>
      <c r="U14" s="9">
        <f t="shared" si="68"/>
        <v>0</v>
      </c>
      <c r="V14" s="9">
        <f t="shared" si="69"/>
        <v>0</v>
      </c>
      <c r="W14" s="9">
        <f t="shared" si="70"/>
        <v>0</v>
      </c>
      <c r="X14" s="9">
        <f t="shared" si="71"/>
        <v>0</v>
      </c>
      <c r="Y14" s="9">
        <f t="shared" si="72"/>
        <v>0</v>
      </c>
      <c r="Z14" s="9">
        <f t="shared" si="73"/>
        <v>0</v>
      </c>
      <c r="AA14" s="9">
        <f t="shared" si="74"/>
        <v>0</v>
      </c>
      <c r="AB14" s="9">
        <f t="shared" si="75"/>
        <v>0</v>
      </c>
      <c r="AC14" s="9">
        <f t="shared" si="76"/>
        <v>0</v>
      </c>
      <c r="AD14" s="308">
        <f>+Catálogo!C52</f>
        <v>0</v>
      </c>
      <c r="AE14" s="9">
        <f t="shared" si="77"/>
        <v>0</v>
      </c>
      <c r="AF14" s="9">
        <f t="shared" si="78"/>
        <v>0</v>
      </c>
      <c r="AG14" s="9">
        <f t="shared" si="79"/>
        <v>0</v>
      </c>
      <c r="AH14" s="9">
        <f t="shared" si="80"/>
        <v>0</v>
      </c>
      <c r="AI14" s="9">
        <f t="shared" si="81"/>
        <v>0</v>
      </c>
      <c r="AJ14" s="9">
        <f t="shared" si="82"/>
        <v>0</v>
      </c>
      <c r="AK14" s="9">
        <f t="shared" si="83"/>
        <v>0</v>
      </c>
      <c r="AL14" s="9">
        <f t="shared" si="84"/>
        <v>0</v>
      </c>
      <c r="AM14" s="9">
        <f t="shared" si="85"/>
        <v>0</v>
      </c>
      <c r="AN14" s="9">
        <f t="shared" si="86"/>
        <v>0</v>
      </c>
      <c r="AO14" s="9">
        <f t="shared" si="87"/>
        <v>0</v>
      </c>
      <c r="AP14" s="9">
        <f t="shared" si="88"/>
        <v>0</v>
      </c>
    </row>
    <row r="15" spans="2:42" hidden="1" outlineLevel="1">
      <c r="B15" s="307">
        <f t="shared" si="3"/>
        <v>0</v>
      </c>
      <c r="C15" s="308">
        <f>+Catálogo!C16</f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308">
        <f>+Catálogo!C35</f>
        <v>0</v>
      </c>
      <c r="R15" s="9">
        <f t="shared" si="65"/>
        <v>0</v>
      </c>
      <c r="S15" s="9">
        <f t="shared" si="66"/>
        <v>0</v>
      </c>
      <c r="T15" s="9">
        <f t="shared" si="67"/>
        <v>0</v>
      </c>
      <c r="U15" s="9">
        <f t="shared" si="68"/>
        <v>0</v>
      </c>
      <c r="V15" s="9">
        <f t="shared" si="69"/>
        <v>0</v>
      </c>
      <c r="W15" s="9">
        <f t="shared" si="70"/>
        <v>0</v>
      </c>
      <c r="X15" s="9">
        <f t="shared" si="71"/>
        <v>0</v>
      </c>
      <c r="Y15" s="9">
        <f t="shared" si="72"/>
        <v>0</v>
      </c>
      <c r="Z15" s="9">
        <f t="shared" si="73"/>
        <v>0</v>
      </c>
      <c r="AA15" s="9">
        <f t="shared" si="74"/>
        <v>0</v>
      </c>
      <c r="AB15" s="9">
        <f t="shared" si="75"/>
        <v>0</v>
      </c>
      <c r="AC15" s="9">
        <f t="shared" si="76"/>
        <v>0</v>
      </c>
      <c r="AD15" s="308">
        <f>+Catálogo!C53</f>
        <v>0</v>
      </c>
      <c r="AE15" s="9">
        <f t="shared" si="77"/>
        <v>0</v>
      </c>
      <c r="AF15" s="9">
        <f t="shared" si="78"/>
        <v>0</v>
      </c>
      <c r="AG15" s="9">
        <f t="shared" si="79"/>
        <v>0</v>
      </c>
      <c r="AH15" s="9">
        <f t="shared" si="80"/>
        <v>0</v>
      </c>
      <c r="AI15" s="9">
        <f t="shared" si="81"/>
        <v>0</v>
      </c>
      <c r="AJ15" s="9">
        <f t="shared" si="82"/>
        <v>0</v>
      </c>
      <c r="AK15" s="9">
        <f t="shared" si="83"/>
        <v>0</v>
      </c>
      <c r="AL15" s="9">
        <f t="shared" si="84"/>
        <v>0</v>
      </c>
      <c r="AM15" s="9">
        <f t="shared" si="85"/>
        <v>0</v>
      </c>
      <c r="AN15" s="9">
        <f t="shared" si="86"/>
        <v>0</v>
      </c>
      <c r="AO15" s="9">
        <f t="shared" si="87"/>
        <v>0</v>
      </c>
      <c r="AP15" s="9">
        <f t="shared" si="88"/>
        <v>0</v>
      </c>
    </row>
    <row r="16" spans="2:42" hidden="1" outlineLevel="1">
      <c r="B16" s="307">
        <f t="shared" si="3"/>
        <v>0</v>
      </c>
      <c r="C16" s="308">
        <f>+Catálogo!C17</f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308">
        <f>+Catálogo!C36</f>
        <v>0</v>
      </c>
      <c r="R16" s="9">
        <f t="shared" si="65"/>
        <v>0</v>
      </c>
      <c r="S16" s="9">
        <f t="shared" si="66"/>
        <v>0</v>
      </c>
      <c r="T16" s="9">
        <f t="shared" si="67"/>
        <v>0</v>
      </c>
      <c r="U16" s="9">
        <f t="shared" si="68"/>
        <v>0</v>
      </c>
      <c r="V16" s="9">
        <f t="shared" si="69"/>
        <v>0</v>
      </c>
      <c r="W16" s="9">
        <f t="shared" si="70"/>
        <v>0</v>
      </c>
      <c r="X16" s="9">
        <f t="shared" si="71"/>
        <v>0</v>
      </c>
      <c r="Y16" s="9">
        <f t="shared" si="72"/>
        <v>0</v>
      </c>
      <c r="Z16" s="9">
        <f t="shared" si="73"/>
        <v>0</v>
      </c>
      <c r="AA16" s="9">
        <f t="shared" si="74"/>
        <v>0</v>
      </c>
      <c r="AB16" s="9">
        <f t="shared" si="75"/>
        <v>0</v>
      </c>
      <c r="AC16" s="9">
        <f t="shared" si="76"/>
        <v>0</v>
      </c>
      <c r="AD16" s="308">
        <f>+Catálogo!C54</f>
        <v>0</v>
      </c>
      <c r="AE16" s="9">
        <f t="shared" si="77"/>
        <v>0</v>
      </c>
      <c r="AF16" s="9">
        <f t="shared" si="78"/>
        <v>0</v>
      </c>
      <c r="AG16" s="9">
        <f t="shared" si="79"/>
        <v>0</v>
      </c>
      <c r="AH16" s="9">
        <f t="shared" si="80"/>
        <v>0</v>
      </c>
      <c r="AI16" s="9">
        <f t="shared" si="81"/>
        <v>0</v>
      </c>
      <c r="AJ16" s="9">
        <f t="shared" si="82"/>
        <v>0</v>
      </c>
      <c r="AK16" s="9">
        <f t="shared" si="83"/>
        <v>0</v>
      </c>
      <c r="AL16" s="9">
        <f t="shared" si="84"/>
        <v>0</v>
      </c>
      <c r="AM16" s="9">
        <f t="shared" si="85"/>
        <v>0</v>
      </c>
      <c r="AN16" s="9">
        <f t="shared" si="86"/>
        <v>0</v>
      </c>
      <c r="AO16" s="9">
        <f t="shared" si="87"/>
        <v>0</v>
      </c>
      <c r="AP16" s="9">
        <f t="shared" si="88"/>
        <v>0</v>
      </c>
    </row>
    <row r="17" spans="2:42" hidden="1" outlineLevel="1">
      <c r="B17" s="307">
        <f t="shared" si="3"/>
        <v>0</v>
      </c>
      <c r="C17" s="308">
        <f>+Catálogo!C18</f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308">
        <f>+Catálogo!C37</f>
        <v>0</v>
      </c>
      <c r="R17" s="9">
        <f t="shared" si="65"/>
        <v>0</v>
      </c>
      <c r="S17" s="9">
        <f t="shared" si="66"/>
        <v>0</v>
      </c>
      <c r="T17" s="9">
        <f t="shared" si="67"/>
        <v>0</v>
      </c>
      <c r="U17" s="9">
        <f t="shared" si="68"/>
        <v>0</v>
      </c>
      <c r="V17" s="9">
        <f t="shared" si="69"/>
        <v>0</v>
      </c>
      <c r="W17" s="9">
        <f t="shared" si="70"/>
        <v>0</v>
      </c>
      <c r="X17" s="9">
        <f t="shared" si="71"/>
        <v>0</v>
      </c>
      <c r="Y17" s="9">
        <f t="shared" si="72"/>
        <v>0</v>
      </c>
      <c r="Z17" s="9">
        <f t="shared" si="73"/>
        <v>0</v>
      </c>
      <c r="AA17" s="9">
        <f t="shared" si="74"/>
        <v>0</v>
      </c>
      <c r="AB17" s="9">
        <f t="shared" si="75"/>
        <v>0</v>
      </c>
      <c r="AC17" s="9">
        <f t="shared" si="76"/>
        <v>0</v>
      </c>
      <c r="AD17" s="308">
        <f>+Catálogo!C55</f>
        <v>0</v>
      </c>
      <c r="AE17" s="9">
        <f t="shared" si="77"/>
        <v>0</v>
      </c>
      <c r="AF17" s="9">
        <f t="shared" si="78"/>
        <v>0</v>
      </c>
      <c r="AG17" s="9">
        <f t="shared" si="79"/>
        <v>0</v>
      </c>
      <c r="AH17" s="9">
        <f t="shared" si="80"/>
        <v>0</v>
      </c>
      <c r="AI17" s="9">
        <f t="shared" si="81"/>
        <v>0</v>
      </c>
      <c r="AJ17" s="9">
        <f t="shared" si="82"/>
        <v>0</v>
      </c>
      <c r="AK17" s="9">
        <f t="shared" si="83"/>
        <v>0</v>
      </c>
      <c r="AL17" s="9">
        <f t="shared" si="84"/>
        <v>0</v>
      </c>
      <c r="AM17" s="9">
        <f t="shared" si="85"/>
        <v>0</v>
      </c>
      <c r="AN17" s="9">
        <f t="shared" si="86"/>
        <v>0</v>
      </c>
      <c r="AO17" s="9">
        <f t="shared" si="87"/>
        <v>0</v>
      </c>
      <c r="AP17" s="9">
        <f t="shared" si="88"/>
        <v>0</v>
      </c>
    </row>
    <row r="18" spans="2:42" hidden="1" outlineLevel="1">
      <c r="B18" s="307">
        <f t="shared" si="3"/>
        <v>0</v>
      </c>
      <c r="C18" s="308">
        <f>+Catálogo!C19</f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308">
        <f>+Catálogo!C38</f>
        <v>0</v>
      </c>
      <c r="R18" s="9">
        <f t="shared" si="65"/>
        <v>0</v>
      </c>
      <c r="S18" s="9">
        <f t="shared" si="66"/>
        <v>0</v>
      </c>
      <c r="T18" s="9">
        <f t="shared" si="67"/>
        <v>0</v>
      </c>
      <c r="U18" s="9">
        <f t="shared" si="68"/>
        <v>0</v>
      </c>
      <c r="V18" s="9">
        <f t="shared" si="69"/>
        <v>0</v>
      </c>
      <c r="W18" s="9">
        <f t="shared" si="70"/>
        <v>0</v>
      </c>
      <c r="X18" s="9">
        <f t="shared" si="71"/>
        <v>0</v>
      </c>
      <c r="Y18" s="9">
        <f t="shared" si="72"/>
        <v>0</v>
      </c>
      <c r="Z18" s="9">
        <f t="shared" si="73"/>
        <v>0</v>
      </c>
      <c r="AA18" s="9">
        <f t="shared" si="74"/>
        <v>0</v>
      </c>
      <c r="AB18" s="9">
        <f t="shared" si="75"/>
        <v>0</v>
      </c>
      <c r="AC18" s="9">
        <f t="shared" si="76"/>
        <v>0</v>
      </c>
      <c r="AD18" s="308">
        <f>+Catálogo!C56</f>
        <v>0</v>
      </c>
      <c r="AE18" s="9">
        <f t="shared" si="77"/>
        <v>0</v>
      </c>
      <c r="AF18" s="9">
        <f t="shared" si="78"/>
        <v>0</v>
      </c>
      <c r="AG18" s="9">
        <f t="shared" si="79"/>
        <v>0</v>
      </c>
      <c r="AH18" s="9">
        <f t="shared" si="80"/>
        <v>0</v>
      </c>
      <c r="AI18" s="9">
        <f t="shared" si="81"/>
        <v>0</v>
      </c>
      <c r="AJ18" s="9">
        <f t="shared" si="82"/>
        <v>0</v>
      </c>
      <c r="AK18" s="9">
        <f t="shared" si="83"/>
        <v>0</v>
      </c>
      <c r="AL18" s="9">
        <f t="shared" si="84"/>
        <v>0</v>
      </c>
      <c r="AM18" s="9">
        <f t="shared" si="85"/>
        <v>0</v>
      </c>
      <c r="AN18" s="9">
        <f t="shared" si="86"/>
        <v>0</v>
      </c>
      <c r="AO18" s="9">
        <f t="shared" si="87"/>
        <v>0</v>
      </c>
      <c r="AP18" s="9">
        <f t="shared" si="88"/>
        <v>0</v>
      </c>
    </row>
    <row r="19" spans="2:42" hidden="1" outlineLevel="1">
      <c r="B19" s="307">
        <f t="shared" si="3"/>
        <v>0</v>
      </c>
      <c r="C19" s="308">
        <f>+Catálogo!C20</f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308">
        <f>+Catálogo!C39</f>
        <v>0</v>
      </c>
      <c r="R19" s="9">
        <f t="shared" si="65"/>
        <v>0</v>
      </c>
      <c r="S19" s="9">
        <f t="shared" si="66"/>
        <v>0</v>
      </c>
      <c r="T19" s="9">
        <f t="shared" si="67"/>
        <v>0</v>
      </c>
      <c r="U19" s="9">
        <f t="shared" si="68"/>
        <v>0</v>
      </c>
      <c r="V19" s="9">
        <f t="shared" si="69"/>
        <v>0</v>
      </c>
      <c r="W19" s="9">
        <f t="shared" si="70"/>
        <v>0</v>
      </c>
      <c r="X19" s="9">
        <f t="shared" si="71"/>
        <v>0</v>
      </c>
      <c r="Y19" s="9">
        <f t="shared" si="72"/>
        <v>0</v>
      </c>
      <c r="Z19" s="9">
        <f t="shared" si="73"/>
        <v>0</v>
      </c>
      <c r="AA19" s="9">
        <f t="shared" si="74"/>
        <v>0</v>
      </c>
      <c r="AB19" s="9">
        <f t="shared" si="75"/>
        <v>0</v>
      </c>
      <c r="AC19" s="9">
        <f t="shared" si="76"/>
        <v>0</v>
      </c>
      <c r="AD19" s="308">
        <f>+Catálogo!C57</f>
        <v>0</v>
      </c>
      <c r="AE19" s="9">
        <f t="shared" si="77"/>
        <v>0</v>
      </c>
      <c r="AF19" s="9">
        <f t="shared" si="78"/>
        <v>0</v>
      </c>
      <c r="AG19" s="9">
        <f t="shared" si="79"/>
        <v>0</v>
      </c>
      <c r="AH19" s="9">
        <f t="shared" si="80"/>
        <v>0</v>
      </c>
      <c r="AI19" s="9">
        <f t="shared" si="81"/>
        <v>0</v>
      </c>
      <c r="AJ19" s="9">
        <f t="shared" si="82"/>
        <v>0</v>
      </c>
      <c r="AK19" s="9">
        <f t="shared" si="83"/>
        <v>0</v>
      </c>
      <c r="AL19" s="9">
        <f t="shared" si="84"/>
        <v>0</v>
      </c>
      <c r="AM19" s="9">
        <f t="shared" si="85"/>
        <v>0</v>
      </c>
      <c r="AN19" s="9">
        <f t="shared" si="86"/>
        <v>0</v>
      </c>
      <c r="AO19" s="9">
        <f t="shared" si="87"/>
        <v>0</v>
      </c>
      <c r="AP19" s="9">
        <f t="shared" si="88"/>
        <v>0</v>
      </c>
    </row>
    <row r="20" spans="2:42" ht="16.5" collapsed="1" thickBot="1">
      <c r="K20" s="280" t="s">
        <v>46</v>
      </c>
      <c r="M20" s="280" t="s">
        <v>46</v>
      </c>
    </row>
    <row r="21" spans="2:42" ht="21.75" thickBot="1">
      <c r="B21" s="1256" t="s">
        <v>447</v>
      </c>
      <c r="C21" s="1256"/>
      <c r="E21" s="1225" t="s">
        <v>448</v>
      </c>
      <c r="F21" s="1226"/>
      <c r="G21" s="1226"/>
      <c r="H21" s="1226"/>
      <c r="I21" s="1226"/>
      <c r="J21" s="1226"/>
      <c r="K21" s="1226"/>
      <c r="L21" s="1226"/>
      <c r="M21" s="1226"/>
      <c r="N21" s="1226"/>
      <c r="O21" s="1226"/>
      <c r="P21" s="1227"/>
      <c r="Q21" s="400"/>
      <c r="R21" s="1225" t="s">
        <v>449</v>
      </c>
      <c r="S21" s="1226"/>
      <c r="T21" s="1226"/>
      <c r="U21" s="1226"/>
      <c r="V21" s="1226"/>
      <c r="W21" s="1226"/>
      <c r="X21" s="1226"/>
      <c r="Y21" s="1226"/>
      <c r="Z21" s="1226"/>
      <c r="AA21" s="1226"/>
      <c r="AB21" s="1226"/>
      <c r="AC21" s="1227"/>
      <c r="AD21" s="400" t="s">
        <v>123</v>
      </c>
      <c r="AE21" s="1225" t="s">
        <v>450</v>
      </c>
      <c r="AF21" s="1226"/>
      <c r="AG21" s="1226"/>
      <c r="AH21" s="1226"/>
      <c r="AI21" s="1226"/>
      <c r="AJ21" s="1226"/>
      <c r="AK21" s="1226"/>
      <c r="AL21" s="1226"/>
      <c r="AM21" s="1226"/>
      <c r="AN21" s="1226"/>
      <c r="AO21" s="1226"/>
      <c r="AP21" s="1227"/>
    </row>
    <row r="22" spans="2:42" ht="68.25">
      <c r="B22" s="283" t="s">
        <v>68</v>
      </c>
      <c r="C22" s="452" t="s">
        <v>76</v>
      </c>
      <c r="E22" s="290">
        <f>+E4</f>
        <v>44197</v>
      </c>
      <c r="F22" s="290">
        <f>+F4</f>
        <v>44228</v>
      </c>
      <c r="G22" s="290">
        <f t="shared" ref="G22:P22" si="89">+G4</f>
        <v>44256</v>
      </c>
      <c r="H22" s="290">
        <f t="shared" si="89"/>
        <v>44287</v>
      </c>
      <c r="I22" s="290">
        <f t="shared" si="89"/>
        <v>44317</v>
      </c>
      <c r="J22" s="290">
        <f t="shared" si="89"/>
        <v>44348</v>
      </c>
      <c r="K22" s="290">
        <f t="shared" si="89"/>
        <v>44378</v>
      </c>
      <c r="L22" s="290">
        <f t="shared" si="89"/>
        <v>44409</v>
      </c>
      <c r="M22" s="290">
        <f t="shared" si="89"/>
        <v>44440</v>
      </c>
      <c r="N22" s="290">
        <f t="shared" si="89"/>
        <v>44470</v>
      </c>
      <c r="O22" s="290">
        <f t="shared" si="89"/>
        <v>44501</v>
      </c>
      <c r="P22" s="290">
        <f t="shared" si="89"/>
        <v>44531</v>
      </c>
      <c r="Q22" s="308"/>
      <c r="R22" s="290">
        <f>+R4</f>
        <v>44562</v>
      </c>
      <c r="S22" s="290">
        <f t="shared" ref="S22:AC22" si="90">+S4</f>
        <v>44593</v>
      </c>
      <c r="T22" s="290">
        <f t="shared" si="90"/>
        <v>44621</v>
      </c>
      <c r="U22" s="290">
        <f t="shared" si="90"/>
        <v>44652</v>
      </c>
      <c r="V22" s="290">
        <f t="shared" si="90"/>
        <v>44682</v>
      </c>
      <c r="W22" s="290">
        <f t="shared" si="90"/>
        <v>44713</v>
      </c>
      <c r="X22" s="290">
        <f t="shared" si="90"/>
        <v>44743</v>
      </c>
      <c r="Y22" s="290">
        <f t="shared" si="90"/>
        <v>44774</v>
      </c>
      <c r="Z22" s="290">
        <f t="shared" si="90"/>
        <v>44805</v>
      </c>
      <c r="AA22" s="290">
        <f t="shared" si="90"/>
        <v>44835</v>
      </c>
      <c r="AB22" s="290">
        <f t="shared" si="90"/>
        <v>44866</v>
      </c>
      <c r="AC22" s="290">
        <f t="shared" si="90"/>
        <v>44896</v>
      </c>
      <c r="AD22" s="401" t="s">
        <v>76</v>
      </c>
      <c r="AE22" s="290">
        <f>+AE4</f>
        <v>44927</v>
      </c>
      <c r="AF22" s="290">
        <f t="shared" ref="AF22:AP22" si="91">+AF4</f>
        <v>44958</v>
      </c>
      <c r="AG22" s="290">
        <f t="shared" si="91"/>
        <v>44986</v>
      </c>
      <c r="AH22" s="290">
        <f t="shared" si="91"/>
        <v>45017</v>
      </c>
      <c r="AI22" s="290">
        <f t="shared" si="91"/>
        <v>45047</v>
      </c>
      <c r="AJ22" s="290">
        <f t="shared" si="91"/>
        <v>45078</v>
      </c>
      <c r="AK22" s="290">
        <f t="shared" si="91"/>
        <v>45108</v>
      </c>
      <c r="AL22" s="290">
        <f t="shared" si="91"/>
        <v>45139</v>
      </c>
      <c r="AM22" s="290">
        <f t="shared" si="91"/>
        <v>45170</v>
      </c>
      <c r="AN22" s="290">
        <f t="shared" si="91"/>
        <v>45200</v>
      </c>
      <c r="AO22" s="290">
        <f t="shared" si="91"/>
        <v>45231</v>
      </c>
      <c r="AP22" s="290">
        <f t="shared" si="91"/>
        <v>45261</v>
      </c>
    </row>
    <row r="23" spans="2:42">
      <c r="B23" s="307">
        <f>+Catálogo!B6</f>
        <v>0</v>
      </c>
      <c r="C23" s="308">
        <f>+Catálogo!C6</f>
        <v>0</v>
      </c>
      <c r="E23" s="404">
        <v>1</v>
      </c>
      <c r="F23" s="404">
        <v>1</v>
      </c>
      <c r="G23" s="404">
        <v>1</v>
      </c>
      <c r="H23" s="404">
        <v>1</v>
      </c>
      <c r="I23" s="404">
        <v>1</v>
      </c>
      <c r="J23" s="404">
        <v>1</v>
      </c>
      <c r="K23" s="404">
        <v>1</v>
      </c>
      <c r="L23" s="404">
        <v>1</v>
      </c>
      <c r="M23" s="404">
        <v>1</v>
      </c>
      <c r="N23" s="404">
        <v>1</v>
      </c>
      <c r="O23" s="404">
        <v>1</v>
      </c>
      <c r="P23" s="404">
        <v>1</v>
      </c>
      <c r="Q23" s="308"/>
      <c r="R23" s="404">
        <v>1</v>
      </c>
      <c r="S23" s="404">
        <v>1</v>
      </c>
      <c r="T23" s="404">
        <v>1</v>
      </c>
      <c r="U23" s="404">
        <v>1</v>
      </c>
      <c r="V23" s="404">
        <v>1</v>
      </c>
      <c r="W23" s="404">
        <v>1</v>
      </c>
      <c r="X23" s="404">
        <v>1</v>
      </c>
      <c r="Y23" s="404">
        <v>1</v>
      </c>
      <c r="Z23" s="404">
        <v>1</v>
      </c>
      <c r="AA23" s="404">
        <v>1</v>
      </c>
      <c r="AB23" s="404">
        <v>1</v>
      </c>
      <c r="AC23" s="404">
        <v>1</v>
      </c>
      <c r="AD23" s="308">
        <f>+Catálogo!C59</f>
        <v>0</v>
      </c>
      <c r="AE23" s="404">
        <v>1</v>
      </c>
      <c r="AF23" s="404">
        <v>1</v>
      </c>
      <c r="AG23" s="404">
        <v>1</v>
      </c>
      <c r="AH23" s="404">
        <v>1</v>
      </c>
      <c r="AI23" s="404">
        <v>1</v>
      </c>
      <c r="AJ23" s="404">
        <v>1</v>
      </c>
      <c r="AK23" s="404">
        <v>1</v>
      </c>
      <c r="AL23" s="404">
        <v>1</v>
      </c>
      <c r="AM23" s="404">
        <v>1</v>
      </c>
      <c r="AN23" s="404">
        <v>1</v>
      </c>
      <c r="AO23" s="404">
        <v>1</v>
      </c>
      <c r="AP23" s="404">
        <v>1</v>
      </c>
    </row>
    <row r="24" spans="2:42">
      <c r="B24" s="307">
        <f>+Catálogo!B7</f>
        <v>0</v>
      </c>
      <c r="C24" s="308">
        <f>+Catálogo!C7</f>
        <v>0</v>
      </c>
      <c r="E24" s="404">
        <v>1</v>
      </c>
      <c r="F24" s="404">
        <v>1</v>
      </c>
      <c r="G24" s="404">
        <v>1</v>
      </c>
      <c r="H24" s="404">
        <v>1</v>
      </c>
      <c r="I24" s="404">
        <v>1</v>
      </c>
      <c r="J24" s="404">
        <v>1</v>
      </c>
      <c r="K24" s="404">
        <v>1</v>
      </c>
      <c r="L24" s="404">
        <v>1</v>
      </c>
      <c r="M24" s="404">
        <v>1</v>
      </c>
      <c r="N24" s="404">
        <v>1</v>
      </c>
      <c r="O24" s="404">
        <v>1</v>
      </c>
      <c r="P24" s="404">
        <v>1</v>
      </c>
      <c r="Q24" s="308"/>
      <c r="R24" s="404">
        <v>1</v>
      </c>
      <c r="S24" s="404">
        <v>1</v>
      </c>
      <c r="T24" s="404">
        <v>1</v>
      </c>
      <c r="U24" s="404">
        <v>1</v>
      </c>
      <c r="V24" s="404">
        <v>1</v>
      </c>
      <c r="W24" s="404">
        <v>1</v>
      </c>
      <c r="X24" s="404">
        <v>1</v>
      </c>
      <c r="Y24" s="404">
        <v>1</v>
      </c>
      <c r="Z24" s="404">
        <v>1</v>
      </c>
      <c r="AA24" s="404">
        <v>1</v>
      </c>
      <c r="AB24" s="404">
        <v>1</v>
      </c>
      <c r="AC24" s="404">
        <v>1</v>
      </c>
      <c r="AD24" s="308">
        <f>+Catálogo!C60</f>
        <v>0</v>
      </c>
      <c r="AE24" s="404">
        <v>1</v>
      </c>
      <c r="AF24" s="404">
        <v>1</v>
      </c>
      <c r="AG24" s="404">
        <v>1</v>
      </c>
      <c r="AH24" s="404">
        <v>1</v>
      </c>
      <c r="AI24" s="404">
        <v>1</v>
      </c>
      <c r="AJ24" s="404">
        <v>1</v>
      </c>
      <c r="AK24" s="404">
        <v>1</v>
      </c>
      <c r="AL24" s="404">
        <v>1</v>
      </c>
      <c r="AM24" s="404">
        <v>1</v>
      </c>
      <c r="AN24" s="404">
        <v>1</v>
      </c>
      <c r="AO24" s="404">
        <v>1</v>
      </c>
      <c r="AP24" s="404">
        <v>1</v>
      </c>
    </row>
    <row r="25" spans="2:42">
      <c r="B25" s="307">
        <f>+Catálogo!B8</f>
        <v>0</v>
      </c>
      <c r="C25" s="308">
        <f>+Catálogo!C8</f>
        <v>0</v>
      </c>
      <c r="E25" s="404">
        <v>1</v>
      </c>
      <c r="F25" s="404">
        <v>1</v>
      </c>
      <c r="G25" s="404">
        <v>1</v>
      </c>
      <c r="H25" s="404">
        <v>1</v>
      </c>
      <c r="I25" s="404">
        <v>1</v>
      </c>
      <c r="J25" s="404">
        <v>1</v>
      </c>
      <c r="K25" s="404">
        <v>1</v>
      </c>
      <c r="L25" s="404">
        <v>1</v>
      </c>
      <c r="M25" s="404">
        <v>1</v>
      </c>
      <c r="N25" s="404">
        <v>1</v>
      </c>
      <c r="O25" s="404">
        <v>1</v>
      </c>
      <c r="P25" s="404">
        <v>1</v>
      </c>
      <c r="Q25" s="308"/>
      <c r="R25" s="404">
        <v>1</v>
      </c>
      <c r="S25" s="404">
        <v>1</v>
      </c>
      <c r="T25" s="404">
        <v>1</v>
      </c>
      <c r="U25" s="404">
        <v>1</v>
      </c>
      <c r="V25" s="404">
        <v>1</v>
      </c>
      <c r="W25" s="404">
        <v>1</v>
      </c>
      <c r="X25" s="404">
        <v>1</v>
      </c>
      <c r="Y25" s="404">
        <v>1</v>
      </c>
      <c r="Z25" s="404">
        <v>1</v>
      </c>
      <c r="AA25" s="404">
        <v>1</v>
      </c>
      <c r="AB25" s="404">
        <v>1</v>
      </c>
      <c r="AC25" s="404">
        <v>1</v>
      </c>
      <c r="AD25" s="308">
        <f>+Catálogo!C61</f>
        <v>0</v>
      </c>
      <c r="AE25" s="404">
        <v>1</v>
      </c>
      <c r="AF25" s="404">
        <v>1</v>
      </c>
      <c r="AG25" s="404">
        <v>1</v>
      </c>
      <c r="AH25" s="404">
        <v>1</v>
      </c>
      <c r="AI25" s="404">
        <v>1</v>
      </c>
      <c r="AJ25" s="404">
        <v>1</v>
      </c>
      <c r="AK25" s="404">
        <v>1</v>
      </c>
      <c r="AL25" s="404">
        <v>1</v>
      </c>
      <c r="AM25" s="404">
        <v>1</v>
      </c>
      <c r="AN25" s="404">
        <v>1</v>
      </c>
      <c r="AO25" s="404">
        <v>1</v>
      </c>
      <c r="AP25" s="404">
        <v>1</v>
      </c>
    </row>
    <row r="26" spans="2:42">
      <c r="B26" s="307">
        <f>+Catálogo!B9</f>
        <v>0</v>
      </c>
      <c r="C26" s="308">
        <f>+Catálogo!C9</f>
        <v>0</v>
      </c>
      <c r="E26" s="404">
        <v>1</v>
      </c>
      <c r="F26" s="404">
        <v>1</v>
      </c>
      <c r="G26" s="404">
        <v>1</v>
      </c>
      <c r="H26" s="404">
        <v>1</v>
      </c>
      <c r="I26" s="404">
        <v>1</v>
      </c>
      <c r="J26" s="404">
        <v>1</v>
      </c>
      <c r="K26" s="404">
        <v>1</v>
      </c>
      <c r="L26" s="404">
        <v>1</v>
      </c>
      <c r="M26" s="404">
        <v>1</v>
      </c>
      <c r="N26" s="404">
        <v>1</v>
      </c>
      <c r="O26" s="404">
        <v>1</v>
      </c>
      <c r="P26" s="404">
        <v>1</v>
      </c>
      <c r="Q26" s="308"/>
      <c r="R26" s="404">
        <v>1</v>
      </c>
      <c r="S26" s="404">
        <v>1</v>
      </c>
      <c r="T26" s="404">
        <v>1</v>
      </c>
      <c r="U26" s="404">
        <v>1</v>
      </c>
      <c r="V26" s="404">
        <v>1</v>
      </c>
      <c r="W26" s="404">
        <v>1</v>
      </c>
      <c r="X26" s="404">
        <v>1</v>
      </c>
      <c r="Y26" s="404">
        <v>1</v>
      </c>
      <c r="Z26" s="404">
        <v>1</v>
      </c>
      <c r="AA26" s="404">
        <v>1</v>
      </c>
      <c r="AB26" s="404">
        <v>1</v>
      </c>
      <c r="AC26" s="404">
        <v>1</v>
      </c>
      <c r="AD26" s="308">
        <f>+Catálogo!C62</f>
        <v>0</v>
      </c>
      <c r="AE26" s="404">
        <v>1</v>
      </c>
      <c r="AF26" s="404">
        <v>1</v>
      </c>
      <c r="AG26" s="404">
        <v>1</v>
      </c>
      <c r="AH26" s="404">
        <v>1</v>
      </c>
      <c r="AI26" s="404">
        <v>1</v>
      </c>
      <c r="AJ26" s="404">
        <v>1</v>
      </c>
      <c r="AK26" s="404">
        <v>1</v>
      </c>
      <c r="AL26" s="404">
        <v>1</v>
      </c>
      <c r="AM26" s="404">
        <v>1</v>
      </c>
      <c r="AN26" s="404">
        <v>1</v>
      </c>
      <c r="AO26" s="404">
        <v>1</v>
      </c>
      <c r="AP26" s="404">
        <v>1</v>
      </c>
    </row>
    <row r="27" spans="2:42">
      <c r="B27" s="307">
        <f>+Catálogo!B10</f>
        <v>0</v>
      </c>
      <c r="C27" s="308">
        <f>+Catálogo!C10</f>
        <v>0</v>
      </c>
      <c r="E27" s="404">
        <v>1</v>
      </c>
      <c r="F27" s="404">
        <v>1</v>
      </c>
      <c r="G27" s="404">
        <v>1</v>
      </c>
      <c r="H27" s="404">
        <v>1</v>
      </c>
      <c r="I27" s="404">
        <v>1</v>
      </c>
      <c r="J27" s="404">
        <v>1</v>
      </c>
      <c r="K27" s="404">
        <v>1</v>
      </c>
      <c r="L27" s="404">
        <v>1</v>
      </c>
      <c r="M27" s="404">
        <v>1</v>
      </c>
      <c r="N27" s="404">
        <v>1</v>
      </c>
      <c r="O27" s="404">
        <v>1</v>
      </c>
      <c r="P27" s="404">
        <v>1</v>
      </c>
      <c r="Q27" s="308"/>
      <c r="R27" s="404">
        <v>1</v>
      </c>
      <c r="S27" s="404">
        <v>1</v>
      </c>
      <c r="T27" s="404">
        <v>1</v>
      </c>
      <c r="U27" s="404">
        <v>1</v>
      </c>
      <c r="V27" s="404">
        <v>1</v>
      </c>
      <c r="W27" s="404">
        <v>1</v>
      </c>
      <c r="X27" s="404">
        <v>1</v>
      </c>
      <c r="Y27" s="404">
        <v>1</v>
      </c>
      <c r="Z27" s="404">
        <v>1</v>
      </c>
      <c r="AA27" s="404">
        <v>1</v>
      </c>
      <c r="AB27" s="404">
        <v>1</v>
      </c>
      <c r="AC27" s="404">
        <v>1</v>
      </c>
      <c r="AD27" s="308">
        <f>+Catálogo!C63</f>
        <v>0</v>
      </c>
      <c r="AE27" s="404">
        <v>1</v>
      </c>
      <c r="AF27" s="404">
        <v>1</v>
      </c>
      <c r="AG27" s="404">
        <v>1</v>
      </c>
      <c r="AH27" s="404">
        <v>1</v>
      </c>
      <c r="AI27" s="404">
        <v>1</v>
      </c>
      <c r="AJ27" s="404">
        <v>1</v>
      </c>
      <c r="AK27" s="404">
        <v>1</v>
      </c>
      <c r="AL27" s="404">
        <v>1</v>
      </c>
      <c r="AM27" s="404">
        <v>1</v>
      </c>
      <c r="AN27" s="404">
        <v>1</v>
      </c>
      <c r="AO27" s="404">
        <v>1</v>
      </c>
      <c r="AP27" s="404">
        <v>1</v>
      </c>
    </row>
    <row r="28" spans="2:42" hidden="1" outlineLevel="1">
      <c r="B28" s="307">
        <f>+Catálogo!B11</f>
        <v>0</v>
      </c>
      <c r="C28" s="308">
        <f>+Catálogo!C11</f>
        <v>0</v>
      </c>
      <c r="E28" s="404">
        <v>1</v>
      </c>
      <c r="F28" s="404">
        <v>1</v>
      </c>
      <c r="G28" s="404">
        <v>1</v>
      </c>
      <c r="H28" s="404">
        <v>1</v>
      </c>
      <c r="I28" s="404">
        <v>1</v>
      </c>
      <c r="J28" s="404">
        <v>1</v>
      </c>
      <c r="K28" s="404">
        <v>1</v>
      </c>
      <c r="L28" s="404">
        <v>1</v>
      </c>
      <c r="M28" s="404">
        <v>1</v>
      </c>
      <c r="N28" s="404">
        <v>1</v>
      </c>
      <c r="O28" s="404">
        <v>1</v>
      </c>
      <c r="P28" s="404">
        <v>1</v>
      </c>
      <c r="Q28" s="308"/>
      <c r="R28" s="404">
        <v>1</v>
      </c>
      <c r="S28" s="404">
        <v>1</v>
      </c>
      <c r="T28" s="404">
        <v>1</v>
      </c>
      <c r="U28" s="404">
        <v>1</v>
      </c>
      <c r="V28" s="404">
        <v>1</v>
      </c>
      <c r="W28" s="404">
        <v>1</v>
      </c>
      <c r="X28" s="404">
        <v>1</v>
      </c>
      <c r="Y28" s="404">
        <v>1</v>
      </c>
      <c r="Z28" s="404">
        <v>1</v>
      </c>
      <c r="AA28" s="404">
        <v>1</v>
      </c>
      <c r="AB28" s="404">
        <v>1</v>
      </c>
      <c r="AC28" s="404">
        <v>1</v>
      </c>
      <c r="AD28" s="308">
        <f>+Catálogo!C64</f>
        <v>0</v>
      </c>
      <c r="AE28" s="404">
        <v>1</v>
      </c>
      <c r="AF28" s="404">
        <v>1</v>
      </c>
      <c r="AG28" s="404">
        <v>1</v>
      </c>
      <c r="AH28" s="404">
        <v>1</v>
      </c>
      <c r="AI28" s="404">
        <v>1</v>
      </c>
      <c r="AJ28" s="404">
        <v>1</v>
      </c>
      <c r="AK28" s="404">
        <v>1</v>
      </c>
      <c r="AL28" s="404">
        <v>1</v>
      </c>
      <c r="AM28" s="404">
        <v>1</v>
      </c>
      <c r="AN28" s="404">
        <v>1</v>
      </c>
      <c r="AO28" s="404">
        <v>1</v>
      </c>
      <c r="AP28" s="404">
        <v>1</v>
      </c>
    </row>
    <row r="29" spans="2:42" hidden="1" outlineLevel="1">
      <c r="B29" s="307">
        <f>+Catálogo!B12</f>
        <v>0</v>
      </c>
      <c r="C29" s="308">
        <f>+Catálogo!C12</f>
        <v>0</v>
      </c>
      <c r="E29" s="404">
        <v>1</v>
      </c>
      <c r="F29" s="404">
        <v>1</v>
      </c>
      <c r="G29" s="404">
        <v>1</v>
      </c>
      <c r="H29" s="404">
        <v>1</v>
      </c>
      <c r="I29" s="404">
        <v>1</v>
      </c>
      <c r="J29" s="404">
        <v>1</v>
      </c>
      <c r="K29" s="404">
        <v>1</v>
      </c>
      <c r="L29" s="404">
        <v>1</v>
      </c>
      <c r="M29" s="404">
        <v>1</v>
      </c>
      <c r="N29" s="404">
        <v>1</v>
      </c>
      <c r="O29" s="404">
        <v>1</v>
      </c>
      <c r="P29" s="404">
        <v>1</v>
      </c>
      <c r="Q29" s="308"/>
      <c r="R29" s="404">
        <v>1</v>
      </c>
      <c r="S29" s="404">
        <v>1</v>
      </c>
      <c r="T29" s="404">
        <v>1</v>
      </c>
      <c r="U29" s="404">
        <v>1</v>
      </c>
      <c r="V29" s="404">
        <v>1</v>
      </c>
      <c r="W29" s="404">
        <v>1</v>
      </c>
      <c r="X29" s="404">
        <v>1</v>
      </c>
      <c r="Y29" s="404">
        <v>1</v>
      </c>
      <c r="Z29" s="404">
        <v>1</v>
      </c>
      <c r="AA29" s="404">
        <v>1</v>
      </c>
      <c r="AB29" s="404">
        <v>1</v>
      </c>
      <c r="AC29" s="404">
        <v>1</v>
      </c>
      <c r="AD29" s="308">
        <f>+Catálogo!C65</f>
        <v>0</v>
      </c>
      <c r="AE29" s="404">
        <v>1</v>
      </c>
      <c r="AF29" s="404">
        <v>1</v>
      </c>
      <c r="AG29" s="404">
        <v>1</v>
      </c>
      <c r="AH29" s="404">
        <v>1</v>
      </c>
      <c r="AI29" s="404">
        <v>1</v>
      </c>
      <c r="AJ29" s="404">
        <v>1</v>
      </c>
      <c r="AK29" s="404">
        <v>1</v>
      </c>
      <c r="AL29" s="404">
        <v>1</v>
      </c>
      <c r="AM29" s="404">
        <v>1</v>
      </c>
      <c r="AN29" s="404">
        <v>1</v>
      </c>
      <c r="AO29" s="404">
        <v>1</v>
      </c>
      <c r="AP29" s="404">
        <v>1</v>
      </c>
    </row>
    <row r="30" spans="2:42" hidden="1" outlineLevel="1">
      <c r="B30" s="307">
        <f>+Catálogo!B13</f>
        <v>0</v>
      </c>
      <c r="C30" s="308">
        <f>+Catálogo!C13</f>
        <v>0</v>
      </c>
      <c r="E30" s="404">
        <v>1</v>
      </c>
      <c r="F30" s="404">
        <v>1</v>
      </c>
      <c r="G30" s="404">
        <v>1</v>
      </c>
      <c r="H30" s="404">
        <v>1</v>
      </c>
      <c r="I30" s="404">
        <v>1</v>
      </c>
      <c r="J30" s="404">
        <v>1</v>
      </c>
      <c r="K30" s="404">
        <v>1</v>
      </c>
      <c r="L30" s="404">
        <v>1</v>
      </c>
      <c r="M30" s="404">
        <v>1</v>
      </c>
      <c r="N30" s="404">
        <v>1</v>
      </c>
      <c r="O30" s="404">
        <v>1</v>
      </c>
      <c r="P30" s="404">
        <v>1</v>
      </c>
      <c r="Q30" s="308"/>
      <c r="R30" s="404">
        <v>1</v>
      </c>
      <c r="S30" s="404">
        <v>1</v>
      </c>
      <c r="T30" s="404">
        <v>1</v>
      </c>
      <c r="U30" s="404">
        <v>1</v>
      </c>
      <c r="V30" s="404">
        <v>1</v>
      </c>
      <c r="W30" s="404">
        <v>1</v>
      </c>
      <c r="X30" s="404">
        <v>1</v>
      </c>
      <c r="Y30" s="404">
        <v>1</v>
      </c>
      <c r="Z30" s="404">
        <v>1</v>
      </c>
      <c r="AA30" s="404">
        <v>1</v>
      </c>
      <c r="AB30" s="404">
        <v>1</v>
      </c>
      <c r="AC30" s="404">
        <v>1</v>
      </c>
      <c r="AD30" s="308">
        <f>+Catálogo!C66</f>
        <v>0</v>
      </c>
      <c r="AE30" s="404">
        <v>1</v>
      </c>
      <c r="AF30" s="404">
        <v>1</v>
      </c>
      <c r="AG30" s="404">
        <v>1</v>
      </c>
      <c r="AH30" s="404">
        <v>1</v>
      </c>
      <c r="AI30" s="404">
        <v>1</v>
      </c>
      <c r="AJ30" s="404">
        <v>1</v>
      </c>
      <c r="AK30" s="404">
        <v>1</v>
      </c>
      <c r="AL30" s="404">
        <v>1</v>
      </c>
      <c r="AM30" s="404">
        <v>1</v>
      </c>
      <c r="AN30" s="404">
        <v>1</v>
      </c>
      <c r="AO30" s="404">
        <v>1</v>
      </c>
      <c r="AP30" s="404">
        <v>1</v>
      </c>
    </row>
    <row r="31" spans="2:42" hidden="1" outlineLevel="1">
      <c r="B31" s="307">
        <f>+Catálogo!B14</f>
        <v>0</v>
      </c>
      <c r="C31" s="308">
        <f>+Catálogo!C14</f>
        <v>0</v>
      </c>
      <c r="E31" s="404">
        <v>1</v>
      </c>
      <c r="F31" s="404">
        <v>1</v>
      </c>
      <c r="G31" s="404">
        <v>1</v>
      </c>
      <c r="H31" s="404">
        <v>1</v>
      </c>
      <c r="I31" s="404">
        <v>1</v>
      </c>
      <c r="J31" s="404">
        <v>1</v>
      </c>
      <c r="K31" s="404">
        <v>1</v>
      </c>
      <c r="L31" s="404">
        <v>1</v>
      </c>
      <c r="M31" s="404">
        <v>1</v>
      </c>
      <c r="N31" s="404">
        <v>1</v>
      </c>
      <c r="O31" s="404">
        <v>1</v>
      </c>
      <c r="P31" s="404">
        <v>1</v>
      </c>
      <c r="Q31" s="308"/>
      <c r="R31" s="404">
        <v>1</v>
      </c>
      <c r="S31" s="404">
        <v>1</v>
      </c>
      <c r="T31" s="404">
        <v>1</v>
      </c>
      <c r="U31" s="404">
        <v>1</v>
      </c>
      <c r="V31" s="404">
        <v>1</v>
      </c>
      <c r="W31" s="404">
        <v>1</v>
      </c>
      <c r="X31" s="404">
        <v>1</v>
      </c>
      <c r="Y31" s="404">
        <v>1</v>
      </c>
      <c r="Z31" s="404">
        <v>1</v>
      </c>
      <c r="AA31" s="404">
        <v>1</v>
      </c>
      <c r="AB31" s="404">
        <v>1</v>
      </c>
      <c r="AC31" s="404">
        <v>1</v>
      </c>
      <c r="AD31" s="308">
        <f>+Catálogo!C67</f>
        <v>0</v>
      </c>
      <c r="AE31" s="404">
        <v>1</v>
      </c>
      <c r="AF31" s="404">
        <v>1</v>
      </c>
      <c r="AG31" s="404">
        <v>1</v>
      </c>
      <c r="AH31" s="404">
        <v>1</v>
      </c>
      <c r="AI31" s="404">
        <v>1</v>
      </c>
      <c r="AJ31" s="404">
        <v>1</v>
      </c>
      <c r="AK31" s="404">
        <v>1</v>
      </c>
      <c r="AL31" s="404">
        <v>1</v>
      </c>
      <c r="AM31" s="404">
        <v>1</v>
      </c>
      <c r="AN31" s="404">
        <v>1</v>
      </c>
      <c r="AO31" s="404">
        <v>1</v>
      </c>
      <c r="AP31" s="404">
        <v>1</v>
      </c>
    </row>
    <row r="32" spans="2:42" hidden="1" outlineLevel="1">
      <c r="B32" s="307">
        <f>+Catálogo!B15</f>
        <v>0</v>
      </c>
      <c r="C32" s="308">
        <f>+Catálogo!C15</f>
        <v>0</v>
      </c>
      <c r="E32" s="404">
        <v>1</v>
      </c>
      <c r="F32" s="404">
        <v>1</v>
      </c>
      <c r="G32" s="404">
        <v>1</v>
      </c>
      <c r="H32" s="404">
        <v>1</v>
      </c>
      <c r="I32" s="404">
        <v>1</v>
      </c>
      <c r="J32" s="404">
        <v>1</v>
      </c>
      <c r="K32" s="404">
        <v>1</v>
      </c>
      <c r="L32" s="404">
        <v>1</v>
      </c>
      <c r="M32" s="404">
        <v>1</v>
      </c>
      <c r="N32" s="404">
        <v>1</v>
      </c>
      <c r="O32" s="404">
        <v>1</v>
      </c>
      <c r="P32" s="404">
        <v>1</v>
      </c>
      <c r="Q32" s="308"/>
      <c r="R32" s="404">
        <v>1</v>
      </c>
      <c r="S32" s="404">
        <v>1</v>
      </c>
      <c r="T32" s="404">
        <v>1</v>
      </c>
      <c r="U32" s="404">
        <v>1</v>
      </c>
      <c r="V32" s="404">
        <v>1</v>
      </c>
      <c r="W32" s="404">
        <v>1</v>
      </c>
      <c r="X32" s="404">
        <v>1</v>
      </c>
      <c r="Y32" s="404">
        <v>1</v>
      </c>
      <c r="Z32" s="404">
        <v>1</v>
      </c>
      <c r="AA32" s="404">
        <v>1</v>
      </c>
      <c r="AB32" s="404">
        <v>1</v>
      </c>
      <c r="AC32" s="404">
        <v>1</v>
      </c>
      <c r="AD32" s="308">
        <f>+Catálogo!C68</f>
        <v>0</v>
      </c>
      <c r="AE32" s="404">
        <v>1</v>
      </c>
      <c r="AF32" s="404">
        <v>1</v>
      </c>
      <c r="AG32" s="404">
        <v>1</v>
      </c>
      <c r="AH32" s="404">
        <v>1</v>
      </c>
      <c r="AI32" s="404">
        <v>1</v>
      </c>
      <c r="AJ32" s="404">
        <v>1</v>
      </c>
      <c r="AK32" s="404">
        <v>1</v>
      </c>
      <c r="AL32" s="404">
        <v>1</v>
      </c>
      <c r="AM32" s="404">
        <v>1</v>
      </c>
      <c r="AN32" s="404">
        <v>1</v>
      </c>
      <c r="AO32" s="404">
        <v>1</v>
      </c>
      <c r="AP32" s="404">
        <v>1</v>
      </c>
    </row>
    <row r="33" spans="2:43" hidden="1" outlineLevel="1">
      <c r="B33" s="307">
        <f>+Catálogo!B16</f>
        <v>0</v>
      </c>
      <c r="C33" s="308">
        <f>+Catálogo!C16</f>
        <v>0</v>
      </c>
      <c r="E33" s="404">
        <v>1</v>
      </c>
      <c r="F33" s="404">
        <v>1</v>
      </c>
      <c r="G33" s="404">
        <v>1</v>
      </c>
      <c r="H33" s="404">
        <v>1</v>
      </c>
      <c r="I33" s="404">
        <v>1</v>
      </c>
      <c r="J33" s="404">
        <v>1</v>
      </c>
      <c r="K33" s="404">
        <v>1</v>
      </c>
      <c r="L33" s="404">
        <v>1</v>
      </c>
      <c r="M33" s="404">
        <v>1</v>
      </c>
      <c r="N33" s="404">
        <v>1</v>
      </c>
      <c r="O33" s="404">
        <v>1</v>
      </c>
      <c r="P33" s="404">
        <v>1</v>
      </c>
      <c r="Q33" s="308"/>
      <c r="R33" s="404">
        <v>1</v>
      </c>
      <c r="S33" s="404">
        <v>1</v>
      </c>
      <c r="T33" s="404">
        <v>1</v>
      </c>
      <c r="U33" s="404">
        <v>1</v>
      </c>
      <c r="V33" s="404">
        <v>1</v>
      </c>
      <c r="W33" s="404">
        <v>1</v>
      </c>
      <c r="X33" s="404">
        <v>1</v>
      </c>
      <c r="Y33" s="404">
        <v>1</v>
      </c>
      <c r="Z33" s="404">
        <v>1</v>
      </c>
      <c r="AA33" s="404">
        <v>1</v>
      </c>
      <c r="AB33" s="404">
        <v>1</v>
      </c>
      <c r="AC33" s="404">
        <v>1</v>
      </c>
      <c r="AD33" s="308">
        <f>+Catálogo!C69</f>
        <v>0</v>
      </c>
      <c r="AE33" s="404">
        <v>1</v>
      </c>
      <c r="AF33" s="404">
        <v>1</v>
      </c>
      <c r="AG33" s="404">
        <v>1</v>
      </c>
      <c r="AH33" s="404">
        <v>1</v>
      </c>
      <c r="AI33" s="404">
        <v>1</v>
      </c>
      <c r="AJ33" s="404">
        <v>1</v>
      </c>
      <c r="AK33" s="404">
        <v>1</v>
      </c>
      <c r="AL33" s="404">
        <v>1</v>
      </c>
      <c r="AM33" s="404">
        <v>1</v>
      </c>
      <c r="AN33" s="404">
        <v>1</v>
      </c>
      <c r="AO33" s="404">
        <v>1</v>
      </c>
      <c r="AP33" s="404">
        <v>1</v>
      </c>
    </row>
    <row r="34" spans="2:43" hidden="1" outlineLevel="1">
      <c r="B34" s="307">
        <f>+Catálogo!B17</f>
        <v>0</v>
      </c>
      <c r="C34" s="308">
        <f>+Catálogo!C17</f>
        <v>0</v>
      </c>
      <c r="E34" s="404">
        <v>1</v>
      </c>
      <c r="F34" s="404">
        <v>1</v>
      </c>
      <c r="G34" s="404">
        <v>1</v>
      </c>
      <c r="H34" s="404">
        <v>1</v>
      </c>
      <c r="I34" s="404">
        <v>1</v>
      </c>
      <c r="J34" s="404">
        <v>1</v>
      </c>
      <c r="K34" s="404">
        <v>1</v>
      </c>
      <c r="L34" s="404">
        <v>1</v>
      </c>
      <c r="M34" s="404">
        <v>1</v>
      </c>
      <c r="N34" s="404">
        <v>1</v>
      </c>
      <c r="O34" s="404">
        <v>1</v>
      </c>
      <c r="P34" s="404">
        <v>1</v>
      </c>
      <c r="Q34" s="308"/>
      <c r="R34" s="404">
        <v>1</v>
      </c>
      <c r="S34" s="404">
        <v>1</v>
      </c>
      <c r="T34" s="404">
        <v>1</v>
      </c>
      <c r="U34" s="404">
        <v>1</v>
      </c>
      <c r="V34" s="404">
        <v>1</v>
      </c>
      <c r="W34" s="404">
        <v>1</v>
      </c>
      <c r="X34" s="404">
        <v>1</v>
      </c>
      <c r="Y34" s="404">
        <v>1</v>
      </c>
      <c r="Z34" s="404">
        <v>1</v>
      </c>
      <c r="AA34" s="404">
        <v>1</v>
      </c>
      <c r="AB34" s="404">
        <v>1</v>
      </c>
      <c r="AC34" s="404">
        <v>1</v>
      </c>
      <c r="AD34" s="308">
        <f>+Catálogo!C70</f>
        <v>0</v>
      </c>
      <c r="AE34" s="404">
        <v>1</v>
      </c>
      <c r="AF34" s="404">
        <v>1</v>
      </c>
      <c r="AG34" s="404">
        <v>1</v>
      </c>
      <c r="AH34" s="404">
        <v>1</v>
      </c>
      <c r="AI34" s="404">
        <v>1</v>
      </c>
      <c r="AJ34" s="404">
        <v>1</v>
      </c>
      <c r="AK34" s="404">
        <v>1</v>
      </c>
      <c r="AL34" s="404">
        <v>1</v>
      </c>
      <c r="AM34" s="404">
        <v>1</v>
      </c>
      <c r="AN34" s="404">
        <v>1</v>
      </c>
      <c r="AO34" s="404">
        <v>1</v>
      </c>
      <c r="AP34" s="404">
        <v>1</v>
      </c>
    </row>
    <row r="35" spans="2:43" hidden="1" outlineLevel="1">
      <c r="B35" s="307">
        <f>+Catálogo!B18</f>
        <v>0</v>
      </c>
      <c r="C35" s="308">
        <f>+Catálogo!C18</f>
        <v>0</v>
      </c>
      <c r="E35" s="404">
        <v>1</v>
      </c>
      <c r="F35" s="404">
        <v>1</v>
      </c>
      <c r="G35" s="404">
        <v>1</v>
      </c>
      <c r="H35" s="404">
        <v>1</v>
      </c>
      <c r="I35" s="404">
        <v>1</v>
      </c>
      <c r="J35" s="404">
        <v>1</v>
      </c>
      <c r="K35" s="404">
        <v>1</v>
      </c>
      <c r="L35" s="404">
        <v>1</v>
      </c>
      <c r="M35" s="404">
        <v>1</v>
      </c>
      <c r="N35" s="404">
        <v>1</v>
      </c>
      <c r="O35" s="404">
        <v>1</v>
      </c>
      <c r="P35" s="404">
        <v>1</v>
      </c>
      <c r="Q35" s="308"/>
      <c r="R35" s="404">
        <v>1</v>
      </c>
      <c r="S35" s="404">
        <v>1</v>
      </c>
      <c r="T35" s="404">
        <v>1</v>
      </c>
      <c r="U35" s="404">
        <v>1</v>
      </c>
      <c r="V35" s="404">
        <v>1</v>
      </c>
      <c r="W35" s="404">
        <v>1</v>
      </c>
      <c r="X35" s="404">
        <v>1</v>
      </c>
      <c r="Y35" s="404">
        <v>1</v>
      </c>
      <c r="Z35" s="404">
        <v>1</v>
      </c>
      <c r="AA35" s="404">
        <v>1</v>
      </c>
      <c r="AB35" s="404">
        <v>1</v>
      </c>
      <c r="AC35" s="404">
        <v>1</v>
      </c>
      <c r="AD35" s="308">
        <f>+Catálogo!C71</f>
        <v>0</v>
      </c>
      <c r="AE35" s="404">
        <v>1</v>
      </c>
      <c r="AF35" s="404">
        <v>1</v>
      </c>
      <c r="AG35" s="404">
        <v>1</v>
      </c>
      <c r="AH35" s="404">
        <v>1</v>
      </c>
      <c r="AI35" s="404">
        <v>1</v>
      </c>
      <c r="AJ35" s="404">
        <v>1</v>
      </c>
      <c r="AK35" s="404">
        <v>1</v>
      </c>
      <c r="AL35" s="404">
        <v>1</v>
      </c>
      <c r="AM35" s="404">
        <v>1</v>
      </c>
      <c r="AN35" s="404">
        <v>1</v>
      </c>
      <c r="AO35" s="404">
        <v>1</v>
      </c>
      <c r="AP35" s="404">
        <v>1</v>
      </c>
    </row>
    <row r="36" spans="2:43" hidden="1" outlineLevel="1">
      <c r="B36" s="307">
        <f>+Catálogo!B19</f>
        <v>0</v>
      </c>
      <c r="C36" s="308">
        <f>+Catálogo!C19</f>
        <v>0</v>
      </c>
      <c r="E36" s="404">
        <v>1</v>
      </c>
      <c r="F36" s="404">
        <v>1</v>
      </c>
      <c r="G36" s="404">
        <v>1</v>
      </c>
      <c r="H36" s="404">
        <v>1</v>
      </c>
      <c r="I36" s="404">
        <v>1</v>
      </c>
      <c r="J36" s="404">
        <v>1</v>
      </c>
      <c r="K36" s="404">
        <v>1</v>
      </c>
      <c r="L36" s="404">
        <v>1</v>
      </c>
      <c r="M36" s="404">
        <v>1</v>
      </c>
      <c r="N36" s="404">
        <v>1</v>
      </c>
      <c r="O36" s="404">
        <v>1</v>
      </c>
      <c r="P36" s="404">
        <v>1</v>
      </c>
      <c r="Q36" s="308"/>
      <c r="R36" s="404">
        <v>1</v>
      </c>
      <c r="S36" s="404">
        <v>1</v>
      </c>
      <c r="T36" s="404">
        <v>1</v>
      </c>
      <c r="U36" s="404">
        <v>1</v>
      </c>
      <c r="V36" s="404">
        <v>1</v>
      </c>
      <c r="W36" s="404">
        <v>1</v>
      </c>
      <c r="X36" s="404">
        <v>1</v>
      </c>
      <c r="Y36" s="404">
        <v>1</v>
      </c>
      <c r="Z36" s="404">
        <v>1</v>
      </c>
      <c r="AA36" s="404">
        <v>1</v>
      </c>
      <c r="AB36" s="404">
        <v>1</v>
      </c>
      <c r="AC36" s="404">
        <v>1</v>
      </c>
      <c r="AD36" s="308">
        <f>+Catálogo!C72</f>
        <v>0</v>
      </c>
      <c r="AE36" s="404">
        <v>1</v>
      </c>
      <c r="AF36" s="404">
        <v>1</v>
      </c>
      <c r="AG36" s="404">
        <v>1</v>
      </c>
      <c r="AH36" s="404">
        <v>1</v>
      </c>
      <c r="AI36" s="404">
        <v>1</v>
      </c>
      <c r="AJ36" s="404">
        <v>1</v>
      </c>
      <c r="AK36" s="404">
        <v>1</v>
      </c>
      <c r="AL36" s="404">
        <v>1</v>
      </c>
      <c r="AM36" s="404">
        <v>1</v>
      </c>
      <c r="AN36" s="404">
        <v>1</v>
      </c>
      <c r="AO36" s="404">
        <v>1</v>
      </c>
      <c r="AP36" s="404">
        <v>1</v>
      </c>
    </row>
    <row r="37" spans="2:43" hidden="1" outlineLevel="1">
      <c r="B37" s="307">
        <f>+Catálogo!B20</f>
        <v>0</v>
      </c>
      <c r="C37" s="308">
        <f>+Catálogo!C20</f>
        <v>0</v>
      </c>
      <c r="E37" s="404">
        <v>1</v>
      </c>
      <c r="F37" s="404">
        <v>1</v>
      </c>
      <c r="G37" s="404">
        <v>1</v>
      </c>
      <c r="H37" s="404">
        <v>1</v>
      </c>
      <c r="I37" s="404">
        <v>1</v>
      </c>
      <c r="J37" s="404">
        <v>1</v>
      </c>
      <c r="K37" s="404">
        <v>1</v>
      </c>
      <c r="L37" s="404">
        <v>1</v>
      </c>
      <c r="M37" s="404">
        <v>1</v>
      </c>
      <c r="N37" s="404">
        <v>1</v>
      </c>
      <c r="O37" s="404">
        <v>1</v>
      </c>
      <c r="P37" s="404">
        <v>1</v>
      </c>
      <c r="Q37" s="308"/>
      <c r="R37" s="404">
        <v>1</v>
      </c>
      <c r="S37" s="404">
        <v>1</v>
      </c>
      <c r="T37" s="404">
        <v>1</v>
      </c>
      <c r="U37" s="404">
        <v>1</v>
      </c>
      <c r="V37" s="404">
        <v>1</v>
      </c>
      <c r="W37" s="404">
        <v>1</v>
      </c>
      <c r="X37" s="404">
        <v>1</v>
      </c>
      <c r="Y37" s="404">
        <v>1</v>
      </c>
      <c r="Z37" s="404">
        <v>1</v>
      </c>
      <c r="AA37" s="404">
        <v>1</v>
      </c>
      <c r="AB37" s="404">
        <v>1</v>
      </c>
      <c r="AC37" s="404">
        <v>1</v>
      </c>
      <c r="AD37" s="308">
        <f>+Catálogo!C73</f>
        <v>0</v>
      </c>
      <c r="AE37" s="404">
        <v>1</v>
      </c>
      <c r="AF37" s="404">
        <v>1</v>
      </c>
      <c r="AG37" s="404">
        <v>1</v>
      </c>
      <c r="AH37" s="404">
        <v>1</v>
      </c>
      <c r="AI37" s="404">
        <v>1</v>
      </c>
      <c r="AJ37" s="404">
        <v>1</v>
      </c>
      <c r="AK37" s="404">
        <v>1</v>
      </c>
      <c r="AL37" s="404">
        <v>1</v>
      </c>
      <c r="AM37" s="404">
        <v>1</v>
      </c>
      <c r="AN37" s="404">
        <v>1</v>
      </c>
      <c r="AO37" s="404">
        <v>1</v>
      </c>
      <c r="AP37" s="404">
        <v>1</v>
      </c>
    </row>
    <row r="38" spans="2:43" ht="15.75" customHeight="1" collapsed="1"/>
    <row r="39" spans="2:43" ht="18" customHeight="1"/>
    <row r="40" spans="2:43" s="309" customFormat="1" ht="16.5" customHeight="1" thickBot="1">
      <c r="D40" s="1254" t="s">
        <v>339</v>
      </c>
      <c r="E40" s="32">
        <v>0</v>
      </c>
      <c r="F40" s="32">
        <f>+E40</f>
        <v>0</v>
      </c>
      <c r="G40" s="32">
        <f t="shared" ref="G40:P40" si="92">+F40</f>
        <v>0</v>
      </c>
      <c r="H40" s="32">
        <f t="shared" si="92"/>
        <v>0</v>
      </c>
      <c r="I40" s="32">
        <f t="shared" si="92"/>
        <v>0</v>
      </c>
      <c r="J40" s="32">
        <f t="shared" si="92"/>
        <v>0</v>
      </c>
      <c r="K40" s="32">
        <f t="shared" si="92"/>
        <v>0</v>
      </c>
      <c r="L40" s="32">
        <f t="shared" si="92"/>
        <v>0</v>
      </c>
      <c r="M40" s="32">
        <f t="shared" si="92"/>
        <v>0</v>
      </c>
      <c r="N40" s="32">
        <f t="shared" si="92"/>
        <v>0</v>
      </c>
      <c r="O40" s="32">
        <f t="shared" si="92"/>
        <v>0</v>
      </c>
      <c r="P40" s="32">
        <f t="shared" si="92"/>
        <v>0</v>
      </c>
      <c r="R40" s="405"/>
      <c r="S40" s="405"/>
      <c r="T40" s="405"/>
      <c r="U40" s="405"/>
      <c r="V40" s="405"/>
      <c r="W40" s="405"/>
      <c r="X40" s="405"/>
      <c r="Y40" s="405"/>
      <c r="Z40" s="405"/>
      <c r="AA40" s="405"/>
      <c r="AB40" s="405"/>
      <c r="AC40" s="405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</row>
    <row r="41" spans="2:43" ht="19.5" customHeight="1" thickBot="1">
      <c r="B41" s="1256" t="s">
        <v>120</v>
      </c>
      <c r="C41" s="1256"/>
      <c r="D41" s="1254"/>
      <c r="E41" s="1225" t="s">
        <v>90</v>
      </c>
      <c r="F41" s="1226"/>
      <c r="G41" s="1226"/>
      <c r="H41" s="1226"/>
      <c r="I41" s="1226"/>
      <c r="J41" s="1226"/>
      <c r="K41" s="1226"/>
      <c r="L41" s="1226"/>
      <c r="M41" s="1226"/>
      <c r="N41" s="1226"/>
      <c r="O41" s="1226"/>
      <c r="P41" s="1226"/>
      <c r="Q41" s="1227"/>
      <c r="R41" s="1225" t="s">
        <v>91</v>
      </c>
      <c r="S41" s="1226"/>
      <c r="T41" s="1226"/>
      <c r="U41" s="1226"/>
      <c r="V41" s="1226"/>
      <c r="W41" s="1226"/>
      <c r="X41" s="1226"/>
      <c r="Y41" s="1226"/>
      <c r="Z41" s="1226"/>
      <c r="AA41" s="1226"/>
      <c r="AB41" s="1226"/>
      <c r="AC41" s="1226"/>
      <c r="AD41" s="1227"/>
      <c r="AE41" s="1251" t="s">
        <v>92</v>
      </c>
      <c r="AF41" s="1220"/>
      <c r="AG41" s="1220"/>
      <c r="AH41" s="1220"/>
      <c r="AI41" s="1220"/>
      <c r="AJ41" s="1220"/>
      <c r="AK41" s="1220"/>
      <c r="AL41" s="1220"/>
      <c r="AM41" s="1220"/>
      <c r="AN41" s="1220"/>
      <c r="AO41" s="1220"/>
      <c r="AP41" s="1220"/>
      <c r="AQ41" s="1220"/>
    </row>
    <row r="42" spans="2:43" ht="72.75" customHeight="1">
      <c r="B42" s="283" t="s">
        <v>68</v>
      </c>
      <c r="C42" s="284" t="s">
        <v>76</v>
      </c>
      <c r="D42" s="1255"/>
      <c r="E42" s="806">
        <f>+Cuestionario!$C$11</f>
        <v>44197</v>
      </c>
      <c r="F42" s="806">
        <f>EDATE(E42,1)</f>
        <v>44228</v>
      </c>
      <c r="G42" s="806">
        <f t="shared" ref="G42:S42" si="93">EDATE(F42,1)</f>
        <v>44256</v>
      </c>
      <c r="H42" s="806">
        <f t="shared" si="93"/>
        <v>44287</v>
      </c>
      <c r="I42" s="806">
        <f t="shared" si="93"/>
        <v>44317</v>
      </c>
      <c r="J42" s="806">
        <f t="shared" si="93"/>
        <v>44348</v>
      </c>
      <c r="K42" s="806">
        <f t="shared" si="93"/>
        <v>44378</v>
      </c>
      <c r="L42" s="806">
        <f t="shared" si="93"/>
        <v>44409</v>
      </c>
      <c r="M42" s="806">
        <f t="shared" si="93"/>
        <v>44440</v>
      </c>
      <c r="N42" s="806">
        <f t="shared" si="93"/>
        <v>44470</v>
      </c>
      <c r="O42" s="806">
        <f t="shared" si="93"/>
        <v>44501</v>
      </c>
      <c r="P42" s="806">
        <f t="shared" si="93"/>
        <v>44531</v>
      </c>
      <c r="Q42" s="310" t="s">
        <v>5</v>
      </c>
      <c r="R42" s="806">
        <f>EDATE(P42,1)</f>
        <v>44562</v>
      </c>
      <c r="S42" s="806">
        <f t="shared" si="93"/>
        <v>44593</v>
      </c>
      <c r="T42" s="806">
        <f t="shared" ref="T42" si="94">EDATE(S42,1)</f>
        <v>44621</v>
      </c>
      <c r="U42" s="806">
        <f t="shared" ref="U42" si="95">EDATE(T42,1)</f>
        <v>44652</v>
      </c>
      <c r="V42" s="806">
        <f t="shared" ref="V42" si="96">EDATE(U42,1)</f>
        <v>44682</v>
      </c>
      <c r="W42" s="806">
        <f t="shared" ref="W42" si="97">EDATE(V42,1)</f>
        <v>44713</v>
      </c>
      <c r="X42" s="806">
        <f t="shared" ref="X42" si="98">EDATE(W42,1)</f>
        <v>44743</v>
      </c>
      <c r="Y42" s="806">
        <f t="shared" ref="Y42" si="99">EDATE(X42,1)</f>
        <v>44774</v>
      </c>
      <c r="Z42" s="806">
        <f t="shared" ref="Z42" si="100">EDATE(Y42,1)</f>
        <v>44805</v>
      </c>
      <c r="AA42" s="806">
        <f t="shared" ref="AA42" si="101">EDATE(Z42,1)</f>
        <v>44835</v>
      </c>
      <c r="AB42" s="806">
        <f t="shared" ref="AB42:AC42" si="102">EDATE(AA42,1)</f>
        <v>44866</v>
      </c>
      <c r="AC42" s="806">
        <f t="shared" si="102"/>
        <v>44896</v>
      </c>
      <c r="AD42" s="310" t="s">
        <v>5</v>
      </c>
      <c r="AE42" s="806">
        <f>EDATE(AC42,1)</f>
        <v>44927</v>
      </c>
      <c r="AF42" s="806">
        <f t="shared" ref="AF42" si="103">EDATE(AE42,1)</f>
        <v>44958</v>
      </c>
      <c r="AG42" s="806">
        <f t="shared" ref="AG42" si="104">EDATE(AF42,1)</f>
        <v>44986</v>
      </c>
      <c r="AH42" s="806">
        <f t="shared" ref="AH42" si="105">EDATE(AG42,1)</f>
        <v>45017</v>
      </c>
      <c r="AI42" s="806">
        <f t="shared" ref="AI42" si="106">EDATE(AH42,1)</f>
        <v>45047</v>
      </c>
      <c r="AJ42" s="806">
        <f t="shared" ref="AJ42" si="107">EDATE(AI42,1)</f>
        <v>45078</v>
      </c>
      <c r="AK42" s="806">
        <f t="shared" ref="AK42" si="108">EDATE(AJ42,1)</f>
        <v>45108</v>
      </c>
      <c r="AL42" s="806">
        <f t="shared" ref="AL42" si="109">EDATE(AK42,1)</f>
        <v>45139</v>
      </c>
      <c r="AM42" s="806">
        <f t="shared" ref="AM42" si="110">EDATE(AL42,1)</f>
        <v>45170</v>
      </c>
      <c r="AN42" s="806">
        <f t="shared" ref="AN42" si="111">EDATE(AM42,1)</f>
        <v>45200</v>
      </c>
      <c r="AO42" s="806">
        <f t="shared" ref="AO42" si="112">EDATE(AN42,1)</f>
        <v>45231</v>
      </c>
      <c r="AP42" s="806">
        <f t="shared" ref="AP42" si="113">EDATE(AO42,1)</f>
        <v>45261</v>
      </c>
      <c r="AQ42" s="310" t="s">
        <v>5</v>
      </c>
    </row>
    <row r="43" spans="2:43">
      <c r="B43" s="307">
        <f>+Catálogo!B6</f>
        <v>0</v>
      </c>
      <c r="C43" s="308">
        <f>+Catálogo!C6</f>
        <v>0</v>
      </c>
      <c r="D43" s="32">
        <v>0</v>
      </c>
      <c r="E43" s="311">
        <f>((+$C43*E5*E23)*(1+E$40)*(1+$D43))</f>
        <v>0</v>
      </c>
      <c r="F43" s="311">
        <f t="shared" ref="F43:P43" si="114">((+$C43*F5*F23)*(1+F$40)*(1+$D43))</f>
        <v>0</v>
      </c>
      <c r="G43" s="311">
        <f t="shared" si="114"/>
        <v>0</v>
      </c>
      <c r="H43" s="311">
        <f t="shared" si="114"/>
        <v>0</v>
      </c>
      <c r="I43" s="311">
        <f t="shared" si="114"/>
        <v>0</v>
      </c>
      <c r="J43" s="311">
        <f t="shared" si="114"/>
        <v>0</v>
      </c>
      <c r="K43" s="311">
        <f t="shared" si="114"/>
        <v>0</v>
      </c>
      <c r="L43" s="311">
        <f t="shared" si="114"/>
        <v>0</v>
      </c>
      <c r="M43" s="311">
        <f t="shared" si="114"/>
        <v>0</v>
      </c>
      <c r="N43" s="311">
        <f t="shared" si="114"/>
        <v>0</v>
      </c>
      <c r="O43" s="311">
        <f t="shared" si="114"/>
        <v>0</v>
      </c>
      <c r="P43" s="311">
        <f t="shared" si="114"/>
        <v>0</v>
      </c>
      <c r="Q43" s="312">
        <f t="shared" ref="Q43" si="115">SUM(E43:P43)</f>
        <v>0</v>
      </c>
      <c r="R43" s="9">
        <f>+$Q5*R5*R23</f>
        <v>0</v>
      </c>
      <c r="S43" s="9">
        <f t="shared" ref="S43:AC43" si="116">+$Q5*S5*S23</f>
        <v>0</v>
      </c>
      <c r="T43" s="9">
        <f t="shared" si="116"/>
        <v>0</v>
      </c>
      <c r="U43" s="9">
        <f t="shared" si="116"/>
        <v>0</v>
      </c>
      <c r="V43" s="9">
        <f t="shared" si="116"/>
        <v>0</v>
      </c>
      <c r="W43" s="9">
        <f t="shared" si="116"/>
        <v>0</v>
      </c>
      <c r="X43" s="9">
        <f t="shared" si="116"/>
        <v>0</v>
      </c>
      <c r="Y43" s="9">
        <f t="shared" si="116"/>
        <v>0</v>
      </c>
      <c r="Z43" s="9">
        <f t="shared" si="116"/>
        <v>0</v>
      </c>
      <c r="AA43" s="9">
        <f t="shared" si="116"/>
        <v>0</v>
      </c>
      <c r="AB43" s="9">
        <f t="shared" si="116"/>
        <v>0</v>
      </c>
      <c r="AC43" s="9">
        <f t="shared" si="116"/>
        <v>0</v>
      </c>
      <c r="AD43" s="312">
        <f t="shared" ref="AD43" si="117">SUM(R43:AC43)</f>
        <v>0</v>
      </c>
      <c r="AE43" s="9">
        <f>+AE5*$AD5*AE23</f>
        <v>0</v>
      </c>
      <c r="AF43" s="9">
        <f t="shared" ref="AF43:AP43" si="118">+AF5*$AD5*AF23</f>
        <v>0</v>
      </c>
      <c r="AG43" s="9">
        <f t="shared" si="118"/>
        <v>0</v>
      </c>
      <c r="AH43" s="9">
        <f t="shared" si="118"/>
        <v>0</v>
      </c>
      <c r="AI43" s="9">
        <f t="shared" si="118"/>
        <v>0</v>
      </c>
      <c r="AJ43" s="9">
        <f t="shared" si="118"/>
        <v>0</v>
      </c>
      <c r="AK43" s="9">
        <f t="shared" si="118"/>
        <v>0</v>
      </c>
      <c r="AL43" s="9">
        <f t="shared" si="118"/>
        <v>0</v>
      </c>
      <c r="AM43" s="9">
        <f t="shared" si="118"/>
        <v>0</v>
      </c>
      <c r="AN43" s="9">
        <f t="shared" si="118"/>
        <v>0</v>
      </c>
      <c r="AO43" s="9">
        <f t="shared" si="118"/>
        <v>0</v>
      </c>
      <c r="AP43" s="9">
        <f t="shared" si="118"/>
        <v>0</v>
      </c>
      <c r="AQ43" s="312">
        <f t="shared" ref="AQ43" si="119">SUM(AE43:AP43)</f>
        <v>0</v>
      </c>
    </row>
    <row r="44" spans="2:43">
      <c r="B44" s="307">
        <f>+Catálogo!B7</f>
        <v>0</v>
      </c>
      <c r="C44" s="308">
        <f>+Catálogo!C7</f>
        <v>0</v>
      </c>
      <c r="D44" s="32">
        <v>0</v>
      </c>
      <c r="E44" s="311">
        <f t="shared" ref="E44:P44" si="120">((+$C44*E6*E24)*(1+E$40)*(1+$D44))</f>
        <v>0</v>
      </c>
      <c r="F44" s="311">
        <f t="shared" si="120"/>
        <v>0</v>
      </c>
      <c r="G44" s="311">
        <f t="shared" si="120"/>
        <v>0</v>
      </c>
      <c r="H44" s="311">
        <f t="shared" si="120"/>
        <v>0</v>
      </c>
      <c r="I44" s="311">
        <f t="shared" si="120"/>
        <v>0</v>
      </c>
      <c r="J44" s="311">
        <f t="shared" si="120"/>
        <v>0</v>
      </c>
      <c r="K44" s="311">
        <f t="shared" si="120"/>
        <v>0</v>
      </c>
      <c r="L44" s="311">
        <f t="shared" si="120"/>
        <v>0</v>
      </c>
      <c r="M44" s="311">
        <f t="shared" si="120"/>
        <v>0</v>
      </c>
      <c r="N44" s="311">
        <f t="shared" si="120"/>
        <v>0</v>
      </c>
      <c r="O44" s="311">
        <f t="shared" si="120"/>
        <v>0</v>
      </c>
      <c r="P44" s="311">
        <f t="shared" si="120"/>
        <v>0</v>
      </c>
      <c r="Q44" s="312">
        <f t="shared" ref="Q44" si="121">SUM(E44:P44)</f>
        <v>0</v>
      </c>
      <c r="R44" s="9">
        <f t="shared" ref="R44:AC44" si="122">+$Q6*R6*R24</f>
        <v>0</v>
      </c>
      <c r="S44" s="9">
        <f t="shared" si="122"/>
        <v>0</v>
      </c>
      <c r="T44" s="9">
        <f t="shared" si="122"/>
        <v>0</v>
      </c>
      <c r="U44" s="9">
        <f t="shared" si="122"/>
        <v>0</v>
      </c>
      <c r="V44" s="9">
        <f t="shared" si="122"/>
        <v>0</v>
      </c>
      <c r="W44" s="9">
        <f t="shared" si="122"/>
        <v>0</v>
      </c>
      <c r="X44" s="9">
        <f t="shared" si="122"/>
        <v>0</v>
      </c>
      <c r="Y44" s="9">
        <f t="shared" si="122"/>
        <v>0</v>
      </c>
      <c r="Z44" s="9">
        <f t="shared" si="122"/>
        <v>0</v>
      </c>
      <c r="AA44" s="9">
        <f t="shared" si="122"/>
        <v>0</v>
      </c>
      <c r="AB44" s="9">
        <f t="shared" si="122"/>
        <v>0</v>
      </c>
      <c r="AC44" s="9">
        <f t="shared" si="122"/>
        <v>0</v>
      </c>
      <c r="AD44" s="312">
        <f t="shared" ref="AD44" si="123">SUM(R44:AC44)</f>
        <v>0</v>
      </c>
      <c r="AE44" s="9">
        <f t="shared" ref="AE44:AP44" si="124">+AE6*$AD6*AE24</f>
        <v>0</v>
      </c>
      <c r="AF44" s="9">
        <f t="shared" si="124"/>
        <v>0</v>
      </c>
      <c r="AG44" s="9">
        <f t="shared" si="124"/>
        <v>0</v>
      </c>
      <c r="AH44" s="9">
        <f t="shared" si="124"/>
        <v>0</v>
      </c>
      <c r="AI44" s="9">
        <f t="shared" si="124"/>
        <v>0</v>
      </c>
      <c r="AJ44" s="9">
        <f t="shared" si="124"/>
        <v>0</v>
      </c>
      <c r="AK44" s="9">
        <f t="shared" si="124"/>
        <v>0</v>
      </c>
      <c r="AL44" s="9">
        <f t="shared" si="124"/>
        <v>0</v>
      </c>
      <c r="AM44" s="9">
        <f t="shared" si="124"/>
        <v>0</v>
      </c>
      <c r="AN44" s="9">
        <f t="shared" si="124"/>
        <v>0</v>
      </c>
      <c r="AO44" s="9">
        <f t="shared" si="124"/>
        <v>0</v>
      </c>
      <c r="AP44" s="9">
        <f t="shared" si="124"/>
        <v>0</v>
      </c>
      <c r="AQ44" s="312">
        <f t="shared" ref="AQ44" si="125">SUM(AE44:AP44)</f>
        <v>0</v>
      </c>
    </row>
    <row r="45" spans="2:43">
      <c r="B45" s="307">
        <f>+Catálogo!B8</f>
        <v>0</v>
      </c>
      <c r="C45" s="308">
        <f>+Catálogo!C8</f>
        <v>0</v>
      </c>
      <c r="D45" s="32">
        <v>0</v>
      </c>
      <c r="E45" s="311">
        <f t="shared" ref="E45:P45" si="126">((+$C45*E7*E25)*(1+E$40)*(1+$D45))</f>
        <v>0</v>
      </c>
      <c r="F45" s="311">
        <f t="shared" si="126"/>
        <v>0</v>
      </c>
      <c r="G45" s="311">
        <f t="shared" si="126"/>
        <v>0</v>
      </c>
      <c r="H45" s="311">
        <f t="shared" si="126"/>
        <v>0</v>
      </c>
      <c r="I45" s="311">
        <f t="shared" si="126"/>
        <v>0</v>
      </c>
      <c r="J45" s="311">
        <f t="shared" si="126"/>
        <v>0</v>
      </c>
      <c r="K45" s="311">
        <f t="shared" si="126"/>
        <v>0</v>
      </c>
      <c r="L45" s="311">
        <f t="shared" si="126"/>
        <v>0</v>
      </c>
      <c r="M45" s="311">
        <f t="shared" si="126"/>
        <v>0</v>
      </c>
      <c r="N45" s="311">
        <f t="shared" si="126"/>
        <v>0</v>
      </c>
      <c r="O45" s="311">
        <f t="shared" si="126"/>
        <v>0</v>
      </c>
      <c r="P45" s="311">
        <f t="shared" si="126"/>
        <v>0</v>
      </c>
      <c r="Q45" s="312">
        <f t="shared" ref="Q45" si="127">SUM(E45:P45)</f>
        <v>0</v>
      </c>
      <c r="R45" s="9">
        <f t="shared" ref="R45:AC45" si="128">+$Q7*R7*R25</f>
        <v>0</v>
      </c>
      <c r="S45" s="9">
        <f t="shared" si="128"/>
        <v>0</v>
      </c>
      <c r="T45" s="9">
        <f t="shared" si="128"/>
        <v>0</v>
      </c>
      <c r="U45" s="9">
        <f t="shared" si="128"/>
        <v>0</v>
      </c>
      <c r="V45" s="9">
        <f t="shared" si="128"/>
        <v>0</v>
      </c>
      <c r="W45" s="9">
        <f t="shared" si="128"/>
        <v>0</v>
      </c>
      <c r="X45" s="9">
        <f t="shared" si="128"/>
        <v>0</v>
      </c>
      <c r="Y45" s="9">
        <f t="shared" si="128"/>
        <v>0</v>
      </c>
      <c r="Z45" s="9">
        <f t="shared" si="128"/>
        <v>0</v>
      </c>
      <c r="AA45" s="9">
        <f t="shared" si="128"/>
        <v>0</v>
      </c>
      <c r="AB45" s="9">
        <f t="shared" si="128"/>
        <v>0</v>
      </c>
      <c r="AC45" s="9">
        <f t="shared" si="128"/>
        <v>0</v>
      </c>
      <c r="AD45" s="312">
        <f t="shared" ref="AD45" si="129">SUM(R45:AC45)</f>
        <v>0</v>
      </c>
      <c r="AE45" s="9">
        <f t="shared" ref="AE45:AP45" si="130">+AE7*$AD7*AE25</f>
        <v>0</v>
      </c>
      <c r="AF45" s="9">
        <f t="shared" si="130"/>
        <v>0</v>
      </c>
      <c r="AG45" s="9">
        <f t="shared" si="130"/>
        <v>0</v>
      </c>
      <c r="AH45" s="9">
        <f t="shared" si="130"/>
        <v>0</v>
      </c>
      <c r="AI45" s="9">
        <f t="shared" si="130"/>
        <v>0</v>
      </c>
      <c r="AJ45" s="9">
        <f t="shared" si="130"/>
        <v>0</v>
      </c>
      <c r="AK45" s="9">
        <f t="shared" si="130"/>
        <v>0</v>
      </c>
      <c r="AL45" s="9">
        <f t="shared" si="130"/>
        <v>0</v>
      </c>
      <c r="AM45" s="9">
        <f t="shared" si="130"/>
        <v>0</v>
      </c>
      <c r="AN45" s="9">
        <f t="shared" si="130"/>
        <v>0</v>
      </c>
      <c r="AO45" s="9">
        <f t="shared" si="130"/>
        <v>0</v>
      </c>
      <c r="AP45" s="9">
        <f t="shared" si="130"/>
        <v>0</v>
      </c>
      <c r="AQ45" s="312">
        <f t="shared" ref="AQ45" si="131">SUM(AE45:AP45)</f>
        <v>0</v>
      </c>
    </row>
    <row r="46" spans="2:43">
      <c r="B46" s="307">
        <f>+Catálogo!B9</f>
        <v>0</v>
      </c>
      <c r="C46" s="308">
        <f>+Catálogo!C9</f>
        <v>0</v>
      </c>
      <c r="D46" s="32">
        <v>0</v>
      </c>
      <c r="E46" s="311">
        <f t="shared" ref="E46:P46" si="132">((+$C46*E8*E26)*(1+E$40)*(1+$D46))</f>
        <v>0</v>
      </c>
      <c r="F46" s="311">
        <f t="shared" si="132"/>
        <v>0</v>
      </c>
      <c r="G46" s="311">
        <f t="shared" si="132"/>
        <v>0</v>
      </c>
      <c r="H46" s="311">
        <f t="shared" si="132"/>
        <v>0</v>
      </c>
      <c r="I46" s="311">
        <f t="shared" si="132"/>
        <v>0</v>
      </c>
      <c r="J46" s="311">
        <f t="shared" si="132"/>
        <v>0</v>
      </c>
      <c r="K46" s="311">
        <f t="shared" si="132"/>
        <v>0</v>
      </c>
      <c r="L46" s="311">
        <f t="shared" si="132"/>
        <v>0</v>
      </c>
      <c r="M46" s="311">
        <f t="shared" si="132"/>
        <v>0</v>
      </c>
      <c r="N46" s="311">
        <f t="shared" si="132"/>
        <v>0</v>
      </c>
      <c r="O46" s="311">
        <f t="shared" si="132"/>
        <v>0</v>
      </c>
      <c r="P46" s="311">
        <f t="shared" si="132"/>
        <v>0</v>
      </c>
      <c r="Q46" s="312">
        <f t="shared" ref="Q46" si="133">SUM(E46:P46)</f>
        <v>0</v>
      </c>
      <c r="R46" s="9">
        <f t="shared" ref="R46:AC46" si="134">+$Q8*R8*R26</f>
        <v>0</v>
      </c>
      <c r="S46" s="9">
        <f t="shared" si="134"/>
        <v>0</v>
      </c>
      <c r="T46" s="9">
        <f t="shared" si="134"/>
        <v>0</v>
      </c>
      <c r="U46" s="9">
        <f t="shared" si="134"/>
        <v>0</v>
      </c>
      <c r="V46" s="9">
        <f t="shared" si="134"/>
        <v>0</v>
      </c>
      <c r="W46" s="9">
        <f t="shared" si="134"/>
        <v>0</v>
      </c>
      <c r="X46" s="9">
        <f t="shared" si="134"/>
        <v>0</v>
      </c>
      <c r="Y46" s="9">
        <f t="shared" si="134"/>
        <v>0</v>
      </c>
      <c r="Z46" s="9">
        <f t="shared" si="134"/>
        <v>0</v>
      </c>
      <c r="AA46" s="9">
        <f t="shared" si="134"/>
        <v>0</v>
      </c>
      <c r="AB46" s="9">
        <f t="shared" si="134"/>
        <v>0</v>
      </c>
      <c r="AC46" s="9">
        <f t="shared" si="134"/>
        <v>0</v>
      </c>
      <c r="AD46" s="312">
        <f t="shared" ref="AD46:AD53" si="135">SUM(R46:AC46)</f>
        <v>0</v>
      </c>
      <c r="AE46" s="9">
        <f t="shared" ref="AE46:AP46" si="136">+AE8*$AD8*AE26</f>
        <v>0</v>
      </c>
      <c r="AF46" s="9">
        <f t="shared" si="136"/>
        <v>0</v>
      </c>
      <c r="AG46" s="9">
        <f t="shared" si="136"/>
        <v>0</v>
      </c>
      <c r="AH46" s="9">
        <f t="shared" si="136"/>
        <v>0</v>
      </c>
      <c r="AI46" s="9">
        <f t="shared" si="136"/>
        <v>0</v>
      </c>
      <c r="AJ46" s="9">
        <f t="shared" si="136"/>
        <v>0</v>
      </c>
      <c r="AK46" s="9">
        <f t="shared" si="136"/>
        <v>0</v>
      </c>
      <c r="AL46" s="9">
        <f t="shared" si="136"/>
        <v>0</v>
      </c>
      <c r="AM46" s="9">
        <f t="shared" si="136"/>
        <v>0</v>
      </c>
      <c r="AN46" s="9">
        <f t="shared" si="136"/>
        <v>0</v>
      </c>
      <c r="AO46" s="9">
        <f t="shared" si="136"/>
        <v>0</v>
      </c>
      <c r="AP46" s="9">
        <f t="shared" si="136"/>
        <v>0</v>
      </c>
      <c r="AQ46" s="312">
        <f t="shared" ref="AQ46:AQ53" si="137">SUM(AE46:AP46)</f>
        <v>0</v>
      </c>
    </row>
    <row r="47" spans="2:43">
      <c r="B47" s="307">
        <f>+Catálogo!B10</f>
        <v>0</v>
      </c>
      <c r="C47" s="308">
        <f>+Catálogo!C10</f>
        <v>0</v>
      </c>
      <c r="D47" s="32">
        <v>0</v>
      </c>
      <c r="E47" s="311">
        <f t="shared" ref="E47:P47" si="138">((+$C47*E9*E27)*(1+E$40)*(1+$D47))</f>
        <v>0</v>
      </c>
      <c r="F47" s="311">
        <f t="shared" si="138"/>
        <v>0</v>
      </c>
      <c r="G47" s="311">
        <f t="shared" si="138"/>
        <v>0</v>
      </c>
      <c r="H47" s="311">
        <f t="shared" si="138"/>
        <v>0</v>
      </c>
      <c r="I47" s="311">
        <f t="shared" si="138"/>
        <v>0</v>
      </c>
      <c r="J47" s="311">
        <f t="shared" si="138"/>
        <v>0</v>
      </c>
      <c r="K47" s="311">
        <f t="shared" si="138"/>
        <v>0</v>
      </c>
      <c r="L47" s="311">
        <f t="shared" si="138"/>
        <v>0</v>
      </c>
      <c r="M47" s="311">
        <f t="shared" si="138"/>
        <v>0</v>
      </c>
      <c r="N47" s="311">
        <f t="shared" si="138"/>
        <v>0</v>
      </c>
      <c r="O47" s="311">
        <f t="shared" si="138"/>
        <v>0</v>
      </c>
      <c r="P47" s="311">
        <f t="shared" si="138"/>
        <v>0</v>
      </c>
      <c r="Q47" s="312">
        <f t="shared" ref="Q47:Q53" si="139">SUM(E47:P47)</f>
        <v>0</v>
      </c>
      <c r="R47" s="9">
        <f t="shared" ref="R47:AC47" si="140">+$Q9*R9*R27</f>
        <v>0</v>
      </c>
      <c r="S47" s="9">
        <f t="shared" si="140"/>
        <v>0</v>
      </c>
      <c r="T47" s="9">
        <f t="shared" si="140"/>
        <v>0</v>
      </c>
      <c r="U47" s="9">
        <f t="shared" si="140"/>
        <v>0</v>
      </c>
      <c r="V47" s="9">
        <f t="shared" si="140"/>
        <v>0</v>
      </c>
      <c r="W47" s="9">
        <f t="shared" si="140"/>
        <v>0</v>
      </c>
      <c r="X47" s="9">
        <f t="shared" si="140"/>
        <v>0</v>
      </c>
      <c r="Y47" s="9">
        <f t="shared" si="140"/>
        <v>0</v>
      </c>
      <c r="Z47" s="9">
        <f t="shared" si="140"/>
        <v>0</v>
      </c>
      <c r="AA47" s="9">
        <f t="shared" si="140"/>
        <v>0</v>
      </c>
      <c r="AB47" s="9">
        <f t="shared" si="140"/>
        <v>0</v>
      </c>
      <c r="AC47" s="9">
        <f t="shared" si="140"/>
        <v>0</v>
      </c>
      <c r="AD47" s="312">
        <f t="shared" ref="AD47" si="141">SUM(R47:AC47)</f>
        <v>0</v>
      </c>
      <c r="AE47" s="9">
        <f t="shared" ref="AE47:AP47" si="142">+AE9*$AD9*AE27</f>
        <v>0</v>
      </c>
      <c r="AF47" s="9">
        <f t="shared" si="142"/>
        <v>0</v>
      </c>
      <c r="AG47" s="9">
        <f t="shared" si="142"/>
        <v>0</v>
      </c>
      <c r="AH47" s="9">
        <f t="shared" si="142"/>
        <v>0</v>
      </c>
      <c r="AI47" s="9">
        <f t="shared" si="142"/>
        <v>0</v>
      </c>
      <c r="AJ47" s="9">
        <f t="shared" si="142"/>
        <v>0</v>
      </c>
      <c r="AK47" s="9">
        <f t="shared" si="142"/>
        <v>0</v>
      </c>
      <c r="AL47" s="9">
        <f t="shared" si="142"/>
        <v>0</v>
      </c>
      <c r="AM47" s="9">
        <f t="shared" si="142"/>
        <v>0</v>
      </c>
      <c r="AN47" s="9">
        <f t="shared" si="142"/>
        <v>0</v>
      </c>
      <c r="AO47" s="9">
        <f t="shared" si="142"/>
        <v>0</v>
      </c>
      <c r="AP47" s="9">
        <f t="shared" si="142"/>
        <v>0</v>
      </c>
      <c r="AQ47" s="312">
        <f t="shared" si="137"/>
        <v>0</v>
      </c>
    </row>
    <row r="48" spans="2:43" hidden="1" outlineLevel="1">
      <c r="B48" s="307">
        <f>+Catálogo!B11</f>
        <v>0</v>
      </c>
      <c r="C48" s="308">
        <f>+Catálogo!C11</f>
        <v>0</v>
      </c>
      <c r="D48" s="32">
        <v>0</v>
      </c>
      <c r="E48" s="311">
        <f t="shared" ref="E48:P48" si="143">((+$C48*E10*E28)*(1+E$40)*(1+$D48))</f>
        <v>0</v>
      </c>
      <c r="F48" s="311">
        <f t="shared" si="143"/>
        <v>0</v>
      </c>
      <c r="G48" s="311">
        <f t="shared" si="143"/>
        <v>0</v>
      </c>
      <c r="H48" s="311">
        <f t="shared" si="143"/>
        <v>0</v>
      </c>
      <c r="I48" s="311">
        <f t="shared" si="143"/>
        <v>0</v>
      </c>
      <c r="J48" s="311">
        <f t="shared" si="143"/>
        <v>0</v>
      </c>
      <c r="K48" s="311">
        <f t="shared" si="143"/>
        <v>0</v>
      </c>
      <c r="L48" s="311">
        <f t="shared" si="143"/>
        <v>0</v>
      </c>
      <c r="M48" s="311">
        <f t="shared" si="143"/>
        <v>0</v>
      </c>
      <c r="N48" s="311">
        <f t="shared" si="143"/>
        <v>0</v>
      </c>
      <c r="O48" s="311">
        <f t="shared" si="143"/>
        <v>0</v>
      </c>
      <c r="P48" s="311">
        <f t="shared" si="143"/>
        <v>0</v>
      </c>
      <c r="Q48" s="312">
        <f t="shared" si="139"/>
        <v>0</v>
      </c>
      <c r="R48" s="9">
        <f t="shared" ref="R48:AC48" si="144">+$Q10*R10*R28</f>
        <v>0</v>
      </c>
      <c r="S48" s="9">
        <f t="shared" si="144"/>
        <v>0</v>
      </c>
      <c r="T48" s="9">
        <f t="shared" si="144"/>
        <v>0</v>
      </c>
      <c r="U48" s="9">
        <f t="shared" si="144"/>
        <v>0</v>
      </c>
      <c r="V48" s="9">
        <f t="shared" si="144"/>
        <v>0</v>
      </c>
      <c r="W48" s="9">
        <f t="shared" si="144"/>
        <v>0</v>
      </c>
      <c r="X48" s="9">
        <f t="shared" si="144"/>
        <v>0</v>
      </c>
      <c r="Y48" s="9">
        <f t="shared" si="144"/>
        <v>0</v>
      </c>
      <c r="Z48" s="9">
        <f t="shared" si="144"/>
        <v>0</v>
      </c>
      <c r="AA48" s="9">
        <f t="shared" si="144"/>
        <v>0</v>
      </c>
      <c r="AB48" s="9">
        <f t="shared" si="144"/>
        <v>0</v>
      </c>
      <c r="AC48" s="9">
        <f t="shared" si="144"/>
        <v>0</v>
      </c>
      <c r="AD48" s="312">
        <f t="shared" si="135"/>
        <v>0</v>
      </c>
      <c r="AE48" s="9">
        <f t="shared" ref="AE48:AP48" si="145">+AE10*$AD10*AE28</f>
        <v>0</v>
      </c>
      <c r="AF48" s="9">
        <f t="shared" si="145"/>
        <v>0</v>
      </c>
      <c r="AG48" s="9">
        <f t="shared" si="145"/>
        <v>0</v>
      </c>
      <c r="AH48" s="9">
        <f t="shared" si="145"/>
        <v>0</v>
      </c>
      <c r="AI48" s="9">
        <f t="shared" si="145"/>
        <v>0</v>
      </c>
      <c r="AJ48" s="9">
        <f t="shared" si="145"/>
        <v>0</v>
      </c>
      <c r="AK48" s="9">
        <f t="shared" si="145"/>
        <v>0</v>
      </c>
      <c r="AL48" s="9">
        <f t="shared" si="145"/>
        <v>0</v>
      </c>
      <c r="AM48" s="9">
        <f t="shared" si="145"/>
        <v>0</v>
      </c>
      <c r="AN48" s="9">
        <f t="shared" si="145"/>
        <v>0</v>
      </c>
      <c r="AO48" s="9">
        <f t="shared" si="145"/>
        <v>0</v>
      </c>
      <c r="AP48" s="9">
        <f t="shared" si="145"/>
        <v>0</v>
      </c>
      <c r="AQ48" s="312">
        <f t="shared" si="137"/>
        <v>0</v>
      </c>
    </row>
    <row r="49" spans="2:54" hidden="1" outlineLevel="1">
      <c r="B49" s="307">
        <f>+Catálogo!B12</f>
        <v>0</v>
      </c>
      <c r="C49" s="308">
        <f>+Catálogo!C12</f>
        <v>0</v>
      </c>
      <c r="D49" s="32">
        <v>0</v>
      </c>
      <c r="E49" s="311">
        <f t="shared" ref="E49:P49" si="146">((+$C49*E11*E29)*(1+E$40)*(1+$D49))</f>
        <v>0</v>
      </c>
      <c r="F49" s="311">
        <f t="shared" si="146"/>
        <v>0</v>
      </c>
      <c r="G49" s="311">
        <f t="shared" si="146"/>
        <v>0</v>
      </c>
      <c r="H49" s="311">
        <f t="shared" si="146"/>
        <v>0</v>
      </c>
      <c r="I49" s="311">
        <f t="shared" si="146"/>
        <v>0</v>
      </c>
      <c r="J49" s="311">
        <f t="shared" si="146"/>
        <v>0</v>
      </c>
      <c r="K49" s="311">
        <f t="shared" si="146"/>
        <v>0</v>
      </c>
      <c r="L49" s="311">
        <f t="shared" si="146"/>
        <v>0</v>
      </c>
      <c r="M49" s="311">
        <f t="shared" si="146"/>
        <v>0</v>
      </c>
      <c r="N49" s="311">
        <f t="shared" si="146"/>
        <v>0</v>
      </c>
      <c r="O49" s="311">
        <f t="shared" si="146"/>
        <v>0</v>
      </c>
      <c r="P49" s="311">
        <f t="shared" si="146"/>
        <v>0</v>
      </c>
      <c r="Q49" s="312">
        <f t="shared" si="139"/>
        <v>0</v>
      </c>
      <c r="R49" s="9">
        <f t="shared" ref="R49:AC49" si="147">+$Q11*R11*R29</f>
        <v>0</v>
      </c>
      <c r="S49" s="9">
        <f t="shared" si="147"/>
        <v>0</v>
      </c>
      <c r="T49" s="9">
        <f t="shared" si="147"/>
        <v>0</v>
      </c>
      <c r="U49" s="9">
        <f t="shared" si="147"/>
        <v>0</v>
      </c>
      <c r="V49" s="9">
        <f t="shared" si="147"/>
        <v>0</v>
      </c>
      <c r="W49" s="9">
        <f t="shared" si="147"/>
        <v>0</v>
      </c>
      <c r="X49" s="9">
        <f t="shared" si="147"/>
        <v>0</v>
      </c>
      <c r="Y49" s="9">
        <f t="shared" si="147"/>
        <v>0</v>
      </c>
      <c r="Z49" s="9">
        <f t="shared" si="147"/>
        <v>0</v>
      </c>
      <c r="AA49" s="9">
        <f t="shared" si="147"/>
        <v>0</v>
      </c>
      <c r="AB49" s="9">
        <f t="shared" si="147"/>
        <v>0</v>
      </c>
      <c r="AC49" s="9">
        <f t="shared" si="147"/>
        <v>0</v>
      </c>
      <c r="AD49" s="312">
        <f t="shared" si="135"/>
        <v>0</v>
      </c>
      <c r="AE49" s="9">
        <f t="shared" ref="AE49:AP49" si="148">+AE11*$AD11*AE29</f>
        <v>0</v>
      </c>
      <c r="AF49" s="9">
        <f t="shared" si="148"/>
        <v>0</v>
      </c>
      <c r="AG49" s="9">
        <f t="shared" si="148"/>
        <v>0</v>
      </c>
      <c r="AH49" s="9">
        <f t="shared" si="148"/>
        <v>0</v>
      </c>
      <c r="AI49" s="9">
        <f t="shared" si="148"/>
        <v>0</v>
      </c>
      <c r="AJ49" s="9">
        <f t="shared" si="148"/>
        <v>0</v>
      </c>
      <c r="AK49" s="9">
        <f t="shared" si="148"/>
        <v>0</v>
      </c>
      <c r="AL49" s="9">
        <f t="shared" si="148"/>
        <v>0</v>
      </c>
      <c r="AM49" s="9">
        <f t="shared" si="148"/>
        <v>0</v>
      </c>
      <c r="AN49" s="9">
        <f t="shared" si="148"/>
        <v>0</v>
      </c>
      <c r="AO49" s="9">
        <f t="shared" si="148"/>
        <v>0</v>
      </c>
      <c r="AP49" s="9">
        <f t="shared" si="148"/>
        <v>0</v>
      </c>
      <c r="AQ49" s="312">
        <f t="shared" si="137"/>
        <v>0</v>
      </c>
    </row>
    <row r="50" spans="2:54" hidden="1" outlineLevel="1">
      <c r="B50" s="307">
        <f>+Catálogo!B13</f>
        <v>0</v>
      </c>
      <c r="C50" s="308">
        <f>+Catálogo!C13</f>
        <v>0</v>
      </c>
      <c r="D50" s="32">
        <v>0</v>
      </c>
      <c r="E50" s="311">
        <f t="shared" ref="E50:P50" si="149">((+$C50*E12*E30)*(1+E$40)*(1+$D50))</f>
        <v>0</v>
      </c>
      <c r="F50" s="311">
        <f t="shared" si="149"/>
        <v>0</v>
      </c>
      <c r="G50" s="311">
        <f t="shared" si="149"/>
        <v>0</v>
      </c>
      <c r="H50" s="311">
        <f t="shared" si="149"/>
        <v>0</v>
      </c>
      <c r="I50" s="311">
        <f t="shared" si="149"/>
        <v>0</v>
      </c>
      <c r="J50" s="311">
        <f t="shared" si="149"/>
        <v>0</v>
      </c>
      <c r="K50" s="311">
        <f t="shared" si="149"/>
        <v>0</v>
      </c>
      <c r="L50" s="311">
        <f t="shared" si="149"/>
        <v>0</v>
      </c>
      <c r="M50" s="311">
        <f t="shared" si="149"/>
        <v>0</v>
      </c>
      <c r="N50" s="311">
        <f t="shared" si="149"/>
        <v>0</v>
      </c>
      <c r="O50" s="311">
        <f t="shared" si="149"/>
        <v>0</v>
      </c>
      <c r="P50" s="311">
        <f t="shared" si="149"/>
        <v>0</v>
      </c>
      <c r="Q50" s="312">
        <f t="shared" si="139"/>
        <v>0</v>
      </c>
      <c r="R50" s="9">
        <f t="shared" ref="R50:AC50" si="150">+$Q12*R12*R30</f>
        <v>0</v>
      </c>
      <c r="S50" s="9">
        <f t="shared" si="150"/>
        <v>0</v>
      </c>
      <c r="T50" s="9">
        <f t="shared" si="150"/>
        <v>0</v>
      </c>
      <c r="U50" s="9">
        <f t="shared" si="150"/>
        <v>0</v>
      </c>
      <c r="V50" s="9">
        <f t="shared" si="150"/>
        <v>0</v>
      </c>
      <c r="W50" s="9">
        <f t="shared" si="150"/>
        <v>0</v>
      </c>
      <c r="X50" s="9">
        <f t="shared" si="150"/>
        <v>0</v>
      </c>
      <c r="Y50" s="9">
        <f t="shared" si="150"/>
        <v>0</v>
      </c>
      <c r="Z50" s="9">
        <f t="shared" si="150"/>
        <v>0</v>
      </c>
      <c r="AA50" s="9">
        <f t="shared" si="150"/>
        <v>0</v>
      </c>
      <c r="AB50" s="9">
        <f t="shared" si="150"/>
        <v>0</v>
      </c>
      <c r="AC50" s="9">
        <f t="shared" si="150"/>
        <v>0</v>
      </c>
      <c r="AD50" s="312">
        <f t="shared" si="135"/>
        <v>0</v>
      </c>
      <c r="AE50" s="9">
        <f t="shared" ref="AE50:AP50" si="151">+AE12*$AD12*AE30</f>
        <v>0</v>
      </c>
      <c r="AF50" s="9">
        <f t="shared" si="151"/>
        <v>0</v>
      </c>
      <c r="AG50" s="9">
        <f t="shared" si="151"/>
        <v>0</v>
      </c>
      <c r="AH50" s="9">
        <f t="shared" si="151"/>
        <v>0</v>
      </c>
      <c r="AI50" s="9">
        <f t="shared" si="151"/>
        <v>0</v>
      </c>
      <c r="AJ50" s="9">
        <f t="shared" si="151"/>
        <v>0</v>
      </c>
      <c r="AK50" s="9">
        <f t="shared" si="151"/>
        <v>0</v>
      </c>
      <c r="AL50" s="9">
        <f t="shared" si="151"/>
        <v>0</v>
      </c>
      <c r="AM50" s="9">
        <f t="shared" si="151"/>
        <v>0</v>
      </c>
      <c r="AN50" s="9">
        <f t="shared" si="151"/>
        <v>0</v>
      </c>
      <c r="AO50" s="9">
        <f t="shared" si="151"/>
        <v>0</v>
      </c>
      <c r="AP50" s="9">
        <f t="shared" si="151"/>
        <v>0</v>
      </c>
      <c r="AQ50" s="312">
        <f t="shared" si="137"/>
        <v>0</v>
      </c>
    </row>
    <row r="51" spans="2:54" hidden="1" outlineLevel="1">
      <c r="B51" s="307">
        <f>+Catálogo!B14</f>
        <v>0</v>
      </c>
      <c r="C51" s="308">
        <f>+Catálogo!C14</f>
        <v>0</v>
      </c>
      <c r="D51" s="32">
        <v>0</v>
      </c>
      <c r="E51" s="311">
        <f t="shared" ref="E51:P51" si="152">((+$C51*E13*E31)*(1+E$40)*(1+$D51))</f>
        <v>0</v>
      </c>
      <c r="F51" s="311">
        <f t="shared" si="152"/>
        <v>0</v>
      </c>
      <c r="G51" s="311">
        <f t="shared" si="152"/>
        <v>0</v>
      </c>
      <c r="H51" s="311">
        <f t="shared" si="152"/>
        <v>0</v>
      </c>
      <c r="I51" s="311">
        <f t="shared" si="152"/>
        <v>0</v>
      </c>
      <c r="J51" s="311">
        <f t="shared" si="152"/>
        <v>0</v>
      </c>
      <c r="K51" s="311">
        <f t="shared" si="152"/>
        <v>0</v>
      </c>
      <c r="L51" s="311">
        <f t="shared" si="152"/>
        <v>0</v>
      </c>
      <c r="M51" s="311">
        <f t="shared" si="152"/>
        <v>0</v>
      </c>
      <c r="N51" s="311">
        <f t="shared" si="152"/>
        <v>0</v>
      </c>
      <c r="O51" s="311">
        <f t="shared" si="152"/>
        <v>0</v>
      </c>
      <c r="P51" s="311">
        <f t="shared" si="152"/>
        <v>0</v>
      </c>
      <c r="Q51" s="312">
        <f t="shared" si="139"/>
        <v>0</v>
      </c>
      <c r="R51" s="9">
        <f t="shared" ref="R51:AC51" si="153">+$Q13*R13*R31</f>
        <v>0</v>
      </c>
      <c r="S51" s="9">
        <f t="shared" si="153"/>
        <v>0</v>
      </c>
      <c r="T51" s="9">
        <f t="shared" si="153"/>
        <v>0</v>
      </c>
      <c r="U51" s="9">
        <f t="shared" si="153"/>
        <v>0</v>
      </c>
      <c r="V51" s="9">
        <f t="shared" si="153"/>
        <v>0</v>
      </c>
      <c r="W51" s="9">
        <f t="shared" si="153"/>
        <v>0</v>
      </c>
      <c r="X51" s="9">
        <f t="shared" si="153"/>
        <v>0</v>
      </c>
      <c r="Y51" s="9">
        <f t="shared" si="153"/>
        <v>0</v>
      </c>
      <c r="Z51" s="9">
        <f t="shared" si="153"/>
        <v>0</v>
      </c>
      <c r="AA51" s="9">
        <f t="shared" si="153"/>
        <v>0</v>
      </c>
      <c r="AB51" s="9">
        <f t="shared" si="153"/>
        <v>0</v>
      </c>
      <c r="AC51" s="9">
        <f t="shared" si="153"/>
        <v>0</v>
      </c>
      <c r="AD51" s="312">
        <f t="shared" si="135"/>
        <v>0</v>
      </c>
      <c r="AE51" s="9">
        <f t="shared" ref="AE51:AP51" si="154">+AE13*$AD13*AE31</f>
        <v>0</v>
      </c>
      <c r="AF51" s="9">
        <f t="shared" si="154"/>
        <v>0</v>
      </c>
      <c r="AG51" s="9">
        <f t="shared" si="154"/>
        <v>0</v>
      </c>
      <c r="AH51" s="9">
        <f t="shared" si="154"/>
        <v>0</v>
      </c>
      <c r="AI51" s="9">
        <f t="shared" si="154"/>
        <v>0</v>
      </c>
      <c r="AJ51" s="9">
        <f t="shared" si="154"/>
        <v>0</v>
      </c>
      <c r="AK51" s="9">
        <f t="shared" si="154"/>
        <v>0</v>
      </c>
      <c r="AL51" s="9">
        <f t="shared" si="154"/>
        <v>0</v>
      </c>
      <c r="AM51" s="9">
        <f t="shared" si="154"/>
        <v>0</v>
      </c>
      <c r="AN51" s="9">
        <f t="shared" si="154"/>
        <v>0</v>
      </c>
      <c r="AO51" s="9">
        <f t="shared" si="154"/>
        <v>0</v>
      </c>
      <c r="AP51" s="9">
        <f t="shared" si="154"/>
        <v>0</v>
      </c>
      <c r="AQ51" s="312">
        <f t="shared" si="137"/>
        <v>0</v>
      </c>
    </row>
    <row r="52" spans="2:54" hidden="1" outlineLevel="1">
      <c r="B52" s="307">
        <f>+Catálogo!B15</f>
        <v>0</v>
      </c>
      <c r="C52" s="308">
        <f>+Catálogo!C15</f>
        <v>0</v>
      </c>
      <c r="D52" s="32">
        <v>0</v>
      </c>
      <c r="E52" s="311">
        <f t="shared" ref="E52:P52" si="155">((+$C52*E14*E32)*(1+E$40)*(1+$D52))</f>
        <v>0</v>
      </c>
      <c r="F52" s="311">
        <f t="shared" si="155"/>
        <v>0</v>
      </c>
      <c r="G52" s="311">
        <f t="shared" si="155"/>
        <v>0</v>
      </c>
      <c r="H52" s="311">
        <f t="shared" si="155"/>
        <v>0</v>
      </c>
      <c r="I52" s="311">
        <f t="shared" si="155"/>
        <v>0</v>
      </c>
      <c r="J52" s="311">
        <f t="shared" si="155"/>
        <v>0</v>
      </c>
      <c r="K52" s="311">
        <f t="shared" si="155"/>
        <v>0</v>
      </c>
      <c r="L52" s="311">
        <f t="shared" si="155"/>
        <v>0</v>
      </c>
      <c r="M52" s="311">
        <f t="shared" si="155"/>
        <v>0</v>
      </c>
      <c r="N52" s="311">
        <f t="shared" si="155"/>
        <v>0</v>
      </c>
      <c r="O52" s="311">
        <f t="shared" si="155"/>
        <v>0</v>
      </c>
      <c r="P52" s="311">
        <f t="shared" si="155"/>
        <v>0</v>
      </c>
      <c r="Q52" s="312">
        <f t="shared" si="139"/>
        <v>0</v>
      </c>
      <c r="R52" s="9">
        <f t="shared" ref="R52:AC52" si="156">+$Q14*R14*R32</f>
        <v>0</v>
      </c>
      <c r="S52" s="9">
        <f t="shared" si="156"/>
        <v>0</v>
      </c>
      <c r="T52" s="9">
        <f t="shared" si="156"/>
        <v>0</v>
      </c>
      <c r="U52" s="9">
        <f t="shared" si="156"/>
        <v>0</v>
      </c>
      <c r="V52" s="9">
        <f t="shared" si="156"/>
        <v>0</v>
      </c>
      <c r="W52" s="9">
        <f t="shared" si="156"/>
        <v>0</v>
      </c>
      <c r="X52" s="9">
        <f t="shared" si="156"/>
        <v>0</v>
      </c>
      <c r="Y52" s="9">
        <f t="shared" si="156"/>
        <v>0</v>
      </c>
      <c r="Z52" s="9">
        <f t="shared" si="156"/>
        <v>0</v>
      </c>
      <c r="AA52" s="9">
        <f t="shared" si="156"/>
        <v>0</v>
      </c>
      <c r="AB52" s="9">
        <f t="shared" si="156"/>
        <v>0</v>
      </c>
      <c r="AC52" s="9">
        <f t="shared" si="156"/>
        <v>0</v>
      </c>
      <c r="AD52" s="312">
        <f t="shared" si="135"/>
        <v>0</v>
      </c>
      <c r="AE52" s="9">
        <f t="shared" ref="AE52:AP52" si="157">+AE14*$AD14*AE32</f>
        <v>0</v>
      </c>
      <c r="AF52" s="9">
        <f t="shared" si="157"/>
        <v>0</v>
      </c>
      <c r="AG52" s="9">
        <f t="shared" si="157"/>
        <v>0</v>
      </c>
      <c r="AH52" s="9">
        <f t="shared" si="157"/>
        <v>0</v>
      </c>
      <c r="AI52" s="9">
        <f t="shared" si="157"/>
        <v>0</v>
      </c>
      <c r="AJ52" s="9">
        <f t="shared" si="157"/>
        <v>0</v>
      </c>
      <c r="AK52" s="9">
        <f t="shared" si="157"/>
        <v>0</v>
      </c>
      <c r="AL52" s="9">
        <f t="shared" si="157"/>
        <v>0</v>
      </c>
      <c r="AM52" s="9">
        <f t="shared" si="157"/>
        <v>0</v>
      </c>
      <c r="AN52" s="9">
        <f t="shared" si="157"/>
        <v>0</v>
      </c>
      <c r="AO52" s="9">
        <f t="shared" si="157"/>
        <v>0</v>
      </c>
      <c r="AP52" s="9">
        <f t="shared" si="157"/>
        <v>0</v>
      </c>
      <c r="AQ52" s="312">
        <f t="shared" si="137"/>
        <v>0</v>
      </c>
    </row>
    <row r="53" spans="2:54" hidden="1" outlineLevel="1">
      <c r="B53" s="307">
        <f>+Catálogo!B16</f>
        <v>0</v>
      </c>
      <c r="C53" s="308">
        <f>+Catálogo!C16</f>
        <v>0</v>
      </c>
      <c r="D53" s="32">
        <v>0</v>
      </c>
      <c r="E53" s="311">
        <f t="shared" ref="E53:P53" si="158">((+$C53*E15*E33)*(1+E$40)*(1+$D53))</f>
        <v>0</v>
      </c>
      <c r="F53" s="311">
        <f t="shared" si="158"/>
        <v>0</v>
      </c>
      <c r="G53" s="311">
        <f t="shared" si="158"/>
        <v>0</v>
      </c>
      <c r="H53" s="311">
        <f t="shared" si="158"/>
        <v>0</v>
      </c>
      <c r="I53" s="311">
        <f t="shared" si="158"/>
        <v>0</v>
      </c>
      <c r="J53" s="311">
        <f t="shared" si="158"/>
        <v>0</v>
      </c>
      <c r="K53" s="311">
        <f t="shared" si="158"/>
        <v>0</v>
      </c>
      <c r="L53" s="311">
        <f t="shared" si="158"/>
        <v>0</v>
      </c>
      <c r="M53" s="311">
        <f t="shared" si="158"/>
        <v>0</v>
      </c>
      <c r="N53" s="311">
        <f t="shared" si="158"/>
        <v>0</v>
      </c>
      <c r="O53" s="311">
        <f t="shared" si="158"/>
        <v>0</v>
      </c>
      <c r="P53" s="311">
        <f t="shared" si="158"/>
        <v>0</v>
      </c>
      <c r="Q53" s="312">
        <f t="shared" si="139"/>
        <v>0</v>
      </c>
      <c r="R53" s="9">
        <f t="shared" ref="R53:AC53" si="159">+$Q15*R15*R33</f>
        <v>0</v>
      </c>
      <c r="S53" s="9">
        <f t="shared" si="159"/>
        <v>0</v>
      </c>
      <c r="T53" s="9">
        <f t="shared" si="159"/>
        <v>0</v>
      </c>
      <c r="U53" s="9">
        <f t="shared" si="159"/>
        <v>0</v>
      </c>
      <c r="V53" s="9">
        <f t="shared" si="159"/>
        <v>0</v>
      </c>
      <c r="W53" s="9">
        <f t="shared" si="159"/>
        <v>0</v>
      </c>
      <c r="X53" s="9">
        <f t="shared" si="159"/>
        <v>0</v>
      </c>
      <c r="Y53" s="9">
        <f t="shared" si="159"/>
        <v>0</v>
      </c>
      <c r="Z53" s="9">
        <f t="shared" si="159"/>
        <v>0</v>
      </c>
      <c r="AA53" s="9">
        <f t="shared" si="159"/>
        <v>0</v>
      </c>
      <c r="AB53" s="9">
        <f t="shared" si="159"/>
        <v>0</v>
      </c>
      <c r="AC53" s="9">
        <f t="shared" si="159"/>
        <v>0</v>
      </c>
      <c r="AD53" s="312">
        <f t="shared" si="135"/>
        <v>0</v>
      </c>
      <c r="AE53" s="9">
        <f t="shared" ref="AE53:AP53" si="160">+AE15*$AD15*AE33</f>
        <v>0</v>
      </c>
      <c r="AF53" s="9">
        <f t="shared" si="160"/>
        <v>0</v>
      </c>
      <c r="AG53" s="9">
        <f t="shared" si="160"/>
        <v>0</v>
      </c>
      <c r="AH53" s="9">
        <f t="shared" si="160"/>
        <v>0</v>
      </c>
      <c r="AI53" s="9">
        <f t="shared" si="160"/>
        <v>0</v>
      </c>
      <c r="AJ53" s="9">
        <f t="shared" si="160"/>
        <v>0</v>
      </c>
      <c r="AK53" s="9">
        <f t="shared" si="160"/>
        <v>0</v>
      </c>
      <c r="AL53" s="9">
        <f t="shared" si="160"/>
        <v>0</v>
      </c>
      <c r="AM53" s="9">
        <f t="shared" si="160"/>
        <v>0</v>
      </c>
      <c r="AN53" s="9">
        <f t="shared" si="160"/>
        <v>0</v>
      </c>
      <c r="AO53" s="9">
        <f t="shared" si="160"/>
        <v>0</v>
      </c>
      <c r="AP53" s="9">
        <f t="shared" si="160"/>
        <v>0</v>
      </c>
      <c r="AQ53" s="312">
        <f t="shared" si="137"/>
        <v>0</v>
      </c>
    </row>
    <row r="54" spans="2:54" hidden="1" outlineLevel="1">
      <c r="B54" s="307">
        <f>+Catálogo!B17</f>
        <v>0</v>
      </c>
      <c r="C54" s="308">
        <f>+Catálogo!C17</f>
        <v>0</v>
      </c>
      <c r="D54" s="32">
        <v>0</v>
      </c>
      <c r="E54" s="311">
        <f t="shared" ref="E54:P54" si="161">((+$C54*E16*E34)*(1+E$40)*(1+$D54))</f>
        <v>0</v>
      </c>
      <c r="F54" s="311">
        <f t="shared" si="161"/>
        <v>0</v>
      </c>
      <c r="G54" s="311">
        <f t="shared" si="161"/>
        <v>0</v>
      </c>
      <c r="H54" s="311">
        <f t="shared" si="161"/>
        <v>0</v>
      </c>
      <c r="I54" s="311">
        <f t="shared" si="161"/>
        <v>0</v>
      </c>
      <c r="J54" s="311">
        <f t="shared" si="161"/>
        <v>0</v>
      </c>
      <c r="K54" s="311">
        <f t="shared" si="161"/>
        <v>0</v>
      </c>
      <c r="L54" s="311">
        <f t="shared" si="161"/>
        <v>0</v>
      </c>
      <c r="M54" s="311">
        <f t="shared" si="161"/>
        <v>0</v>
      </c>
      <c r="N54" s="311">
        <f t="shared" si="161"/>
        <v>0</v>
      </c>
      <c r="O54" s="311">
        <f t="shared" si="161"/>
        <v>0</v>
      </c>
      <c r="P54" s="311">
        <f t="shared" si="161"/>
        <v>0</v>
      </c>
      <c r="Q54" s="312">
        <f t="shared" ref="Q54:Q57" si="162">SUM(E54:P54)</f>
        <v>0</v>
      </c>
      <c r="R54" s="9">
        <f t="shared" ref="R54:AC54" si="163">+$Q16*R16*R34</f>
        <v>0</v>
      </c>
      <c r="S54" s="9">
        <f t="shared" si="163"/>
        <v>0</v>
      </c>
      <c r="T54" s="9">
        <f t="shared" si="163"/>
        <v>0</v>
      </c>
      <c r="U54" s="9">
        <f t="shared" si="163"/>
        <v>0</v>
      </c>
      <c r="V54" s="9">
        <f t="shared" si="163"/>
        <v>0</v>
      </c>
      <c r="W54" s="9">
        <f t="shared" si="163"/>
        <v>0</v>
      </c>
      <c r="X54" s="9">
        <f t="shared" si="163"/>
        <v>0</v>
      </c>
      <c r="Y54" s="9">
        <f t="shared" si="163"/>
        <v>0</v>
      </c>
      <c r="Z54" s="9">
        <f t="shared" si="163"/>
        <v>0</v>
      </c>
      <c r="AA54" s="9">
        <f t="shared" si="163"/>
        <v>0</v>
      </c>
      <c r="AB54" s="9">
        <f t="shared" si="163"/>
        <v>0</v>
      </c>
      <c r="AC54" s="9">
        <f t="shared" si="163"/>
        <v>0</v>
      </c>
      <c r="AD54" s="312">
        <f t="shared" ref="AD54:AD57" si="164">SUM(R54:AC54)</f>
        <v>0</v>
      </c>
      <c r="AE54" s="9">
        <f t="shared" ref="AE54:AP54" si="165">+AE16*$AD16*AE34</f>
        <v>0</v>
      </c>
      <c r="AF54" s="9">
        <f t="shared" si="165"/>
        <v>0</v>
      </c>
      <c r="AG54" s="9">
        <f t="shared" si="165"/>
        <v>0</v>
      </c>
      <c r="AH54" s="9">
        <f t="shared" si="165"/>
        <v>0</v>
      </c>
      <c r="AI54" s="9">
        <f t="shared" si="165"/>
        <v>0</v>
      </c>
      <c r="AJ54" s="9">
        <f t="shared" si="165"/>
        <v>0</v>
      </c>
      <c r="AK54" s="9">
        <f t="shared" si="165"/>
        <v>0</v>
      </c>
      <c r="AL54" s="9">
        <f t="shared" si="165"/>
        <v>0</v>
      </c>
      <c r="AM54" s="9">
        <f t="shared" si="165"/>
        <v>0</v>
      </c>
      <c r="AN54" s="9">
        <f t="shared" si="165"/>
        <v>0</v>
      </c>
      <c r="AO54" s="9">
        <f t="shared" si="165"/>
        <v>0</v>
      </c>
      <c r="AP54" s="9">
        <f t="shared" si="165"/>
        <v>0</v>
      </c>
      <c r="AQ54" s="312">
        <f t="shared" ref="AQ54:AQ57" si="166">SUM(AE54:AP54)</f>
        <v>0</v>
      </c>
    </row>
    <row r="55" spans="2:54" hidden="1" outlineLevel="1">
      <c r="B55" s="307">
        <f>+Catálogo!B18</f>
        <v>0</v>
      </c>
      <c r="C55" s="308">
        <f>+Catálogo!C18</f>
        <v>0</v>
      </c>
      <c r="D55" s="32">
        <v>0</v>
      </c>
      <c r="E55" s="311">
        <f t="shared" ref="E55:P55" si="167">((+$C55*E17*E35)*(1+E$40)*(1+$D55))</f>
        <v>0</v>
      </c>
      <c r="F55" s="311">
        <f t="shared" si="167"/>
        <v>0</v>
      </c>
      <c r="G55" s="311">
        <f t="shared" si="167"/>
        <v>0</v>
      </c>
      <c r="H55" s="311">
        <f t="shared" si="167"/>
        <v>0</v>
      </c>
      <c r="I55" s="311">
        <f t="shared" si="167"/>
        <v>0</v>
      </c>
      <c r="J55" s="311">
        <f t="shared" si="167"/>
        <v>0</v>
      </c>
      <c r="K55" s="311">
        <f t="shared" si="167"/>
        <v>0</v>
      </c>
      <c r="L55" s="311">
        <f t="shared" si="167"/>
        <v>0</v>
      </c>
      <c r="M55" s="311">
        <f t="shared" si="167"/>
        <v>0</v>
      </c>
      <c r="N55" s="311">
        <f t="shared" si="167"/>
        <v>0</v>
      </c>
      <c r="O55" s="311">
        <f t="shared" si="167"/>
        <v>0</v>
      </c>
      <c r="P55" s="311">
        <f t="shared" si="167"/>
        <v>0</v>
      </c>
      <c r="Q55" s="312">
        <f t="shared" si="162"/>
        <v>0</v>
      </c>
      <c r="R55" s="9">
        <f t="shared" ref="R55:AC55" si="168">+$Q17*R17*R35</f>
        <v>0</v>
      </c>
      <c r="S55" s="9">
        <f t="shared" si="168"/>
        <v>0</v>
      </c>
      <c r="T55" s="9">
        <f t="shared" si="168"/>
        <v>0</v>
      </c>
      <c r="U55" s="9">
        <f t="shared" si="168"/>
        <v>0</v>
      </c>
      <c r="V55" s="9">
        <f t="shared" si="168"/>
        <v>0</v>
      </c>
      <c r="W55" s="9">
        <f t="shared" si="168"/>
        <v>0</v>
      </c>
      <c r="X55" s="9">
        <f t="shared" si="168"/>
        <v>0</v>
      </c>
      <c r="Y55" s="9">
        <f t="shared" si="168"/>
        <v>0</v>
      </c>
      <c r="Z55" s="9">
        <f t="shared" si="168"/>
        <v>0</v>
      </c>
      <c r="AA55" s="9">
        <f t="shared" si="168"/>
        <v>0</v>
      </c>
      <c r="AB55" s="9">
        <f t="shared" si="168"/>
        <v>0</v>
      </c>
      <c r="AC55" s="9">
        <f t="shared" si="168"/>
        <v>0</v>
      </c>
      <c r="AD55" s="312">
        <f t="shared" si="164"/>
        <v>0</v>
      </c>
      <c r="AE55" s="9">
        <f t="shared" ref="AE55:AP55" si="169">+AE17*$AD17*AE35</f>
        <v>0</v>
      </c>
      <c r="AF55" s="9">
        <f t="shared" si="169"/>
        <v>0</v>
      </c>
      <c r="AG55" s="9">
        <f t="shared" si="169"/>
        <v>0</v>
      </c>
      <c r="AH55" s="9">
        <f t="shared" si="169"/>
        <v>0</v>
      </c>
      <c r="AI55" s="9">
        <f t="shared" si="169"/>
        <v>0</v>
      </c>
      <c r="AJ55" s="9">
        <f t="shared" si="169"/>
        <v>0</v>
      </c>
      <c r="AK55" s="9">
        <f t="shared" si="169"/>
        <v>0</v>
      </c>
      <c r="AL55" s="9">
        <f t="shared" si="169"/>
        <v>0</v>
      </c>
      <c r="AM55" s="9">
        <f t="shared" si="169"/>
        <v>0</v>
      </c>
      <c r="AN55" s="9">
        <f t="shared" si="169"/>
        <v>0</v>
      </c>
      <c r="AO55" s="9">
        <f t="shared" si="169"/>
        <v>0</v>
      </c>
      <c r="AP55" s="9">
        <f t="shared" si="169"/>
        <v>0</v>
      </c>
      <c r="AQ55" s="312">
        <f t="shared" si="166"/>
        <v>0</v>
      </c>
    </row>
    <row r="56" spans="2:54" hidden="1" outlineLevel="1">
      <c r="B56" s="307">
        <f>+Catálogo!B19</f>
        <v>0</v>
      </c>
      <c r="C56" s="308">
        <f>+Catálogo!C19</f>
        <v>0</v>
      </c>
      <c r="D56" s="32">
        <v>0</v>
      </c>
      <c r="E56" s="311">
        <f t="shared" ref="E56:P56" si="170">((+$C56*E18*E36)*(1+E$40)*(1+$D56))</f>
        <v>0</v>
      </c>
      <c r="F56" s="311">
        <f t="shared" si="170"/>
        <v>0</v>
      </c>
      <c r="G56" s="311">
        <f t="shared" si="170"/>
        <v>0</v>
      </c>
      <c r="H56" s="311">
        <f t="shared" si="170"/>
        <v>0</v>
      </c>
      <c r="I56" s="311">
        <f t="shared" si="170"/>
        <v>0</v>
      </c>
      <c r="J56" s="311">
        <f t="shared" si="170"/>
        <v>0</v>
      </c>
      <c r="K56" s="311">
        <f t="shared" si="170"/>
        <v>0</v>
      </c>
      <c r="L56" s="311">
        <f t="shared" si="170"/>
        <v>0</v>
      </c>
      <c r="M56" s="311">
        <f t="shared" si="170"/>
        <v>0</v>
      </c>
      <c r="N56" s="311">
        <f t="shared" si="170"/>
        <v>0</v>
      </c>
      <c r="O56" s="311">
        <f t="shared" si="170"/>
        <v>0</v>
      </c>
      <c r="P56" s="311">
        <f t="shared" si="170"/>
        <v>0</v>
      </c>
      <c r="Q56" s="312">
        <f t="shared" si="162"/>
        <v>0</v>
      </c>
      <c r="R56" s="9">
        <f t="shared" ref="R56:AC56" si="171">+$Q18*R18*R36</f>
        <v>0</v>
      </c>
      <c r="S56" s="9">
        <f t="shared" si="171"/>
        <v>0</v>
      </c>
      <c r="T56" s="9">
        <f t="shared" si="171"/>
        <v>0</v>
      </c>
      <c r="U56" s="9">
        <f t="shared" si="171"/>
        <v>0</v>
      </c>
      <c r="V56" s="9">
        <f t="shared" si="171"/>
        <v>0</v>
      </c>
      <c r="W56" s="9">
        <f t="shared" si="171"/>
        <v>0</v>
      </c>
      <c r="X56" s="9">
        <f t="shared" si="171"/>
        <v>0</v>
      </c>
      <c r="Y56" s="9">
        <f t="shared" si="171"/>
        <v>0</v>
      </c>
      <c r="Z56" s="9">
        <f t="shared" si="171"/>
        <v>0</v>
      </c>
      <c r="AA56" s="9">
        <f t="shared" si="171"/>
        <v>0</v>
      </c>
      <c r="AB56" s="9">
        <f t="shared" si="171"/>
        <v>0</v>
      </c>
      <c r="AC56" s="9">
        <f t="shared" si="171"/>
        <v>0</v>
      </c>
      <c r="AD56" s="312">
        <f t="shared" si="164"/>
        <v>0</v>
      </c>
      <c r="AE56" s="9">
        <f t="shared" ref="AE56:AP56" si="172">+AE18*$AD18*AE36</f>
        <v>0</v>
      </c>
      <c r="AF56" s="9">
        <f t="shared" si="172"/>
        <v>0</v>
      </c>
      <c r="AG56" s="9">
        <f t="shared" si="172"/>
        <v>0</v>
      </c>
      <c r="AH56" s="9">
        <f t="shared" si="172"/>
        <v>0</v>
      </c>
      <c r="AI56" s="9">
        <f t="shared" si="172"/>
        <v>0</v>
      </c>
      <c r="AJ56" s="9">
        <f t="shared" si="172"/>
        <v>0</v>
      </c>
      <c r="AK56" s="9">
        <f t="shared" si="172"/>
        <v>0</v>
      </c>
      <c r="AL56" s="9">
        <f t="shared" si="172"/>
        <v>0</v>
      </c>
      <c r="AM56" s="9">
        <f t="shared" si="172"/>
        <v>0</v>
      </c>
      <c r="AN56" s="9">
        <f t="shared" si="172"/>
        <v>0</v>
      </c>
      <c r="AO56" s="9">
        <f t="shared" si="172"/>
        <v>0</v>
      </c>
      <c r="AP56" s="9">
        <f t="shared" si="172"/>
        <v>0</v>
      </c>
      <c r="AQ56" s="312">
        <f t="shared" si="166"/>
        <v>0</v>
      </c>
    </row>
    <row r="57" spans="2:54" hidden="1" outlineLevel="1">
      <c r="B57" s="307">
        <f>+Catálogo!B20</f>
        <v>0</v>
      </c>
      <c r="C57" s="308">
        <f>+Catálogo!C20</f>
        <v>0</v>
      </c>
      <c r="D57" s="32">
        <v>0</v>
      </c>
      <c r="E57" s="311">
        <f t="shared" ref="E57:P57" si="173">((+$C57*E19*E37)*(1+E$40)*(1+$D57))</f>
        <v>0</v>
      </c>
      <c r="F57" s="311">
        <f t="shared" si="173"/>
        <v>0</v>
      </c>
      <c r="G57" s="311">
        <f t="shared" si="173"/>
        <v>0</v>
      </c>
      <c r="H57" s="311">
        <f t="shared" si="173"/>
        <v>0</v>
      </c>
      <c r="I57" s="311">
        <f t="shared" si="173"/>
        <v>0</v>
      </c>
      <c r="J57" s="311">
        <f t="shared" si="173"/>
        <v>0</v>
      </c>
      <c r="K57" s="311">
        <f t="shared" si="173"/>
        <v>0</v>
      </c>
      <c r="L57" s="311">
        <f t="shared" si="173"/>
        <v>0</v>
      </c>
      <c r="M57" s="311">
        <f t="shared" si="173"/>
        <v>0</v>
      </c>
      <c r="N57" s="311">
        <f t="shared" si="173"/>
        <v>0</v>
      </c>
      <c r="O57" s="311">
        <f t="shared" si="173"/>
        <v>0</v>
      </c>
      <c r="P57" s="311">
        <f t="shared" si="173"/>
        <v>0</v>
      </c>
      <c r="Q57" s="312">
        <f t="shared" si="162"/>
        <v>0</v>
      </c>
      <c r="R57" s="9">
        <f t="shared" ref="R57:AC57" si="174">+$Q19*R19*R37</f>
        <v>0</v>
      </c>
      <c r="S57" s="9">
        <f t="shared" si="174"/>
        <v>0</v>
      </c>
      <c r="T57" s="9">
        <f t="shared" si="174"/>
        <v>0</v>
      </c>
      <c r="U57" s="9">
        <f t="shared" si="174"/>
        <v>0</v>
      </c>
      <c r="V57" s="9">
        <f t="shared" si="174"/>
        <v>0</v>
      </c>
      <c r="W57" s="9">
        <f t="shared" si="174"/>
        <v>0</v>
      </c>
      <c r="X57" s="9">
        <f t="shared" si="174"/>
        <v>0</v>
      </c>
      <c r="Y57" s="9">
        <f t="shared" si="174"/>
        <v>0</v>
      </c>
      <c r="Z57" s="9">
        <f t="shared" si="174"/>
        <v>0</v>
      </c>
      <c r="AA57" s="9">
        <f t="shared" si="174"/>
        <v>0</v>
      </c>
      <c r="AB57" s="9">
        <f t="shared" si="174"/>
        <v>0</v>
      </c>
      <c r="AC57" s="9">
        <f t="shared" si="174"/>
        <v>0</v>
      </c>
      <c r="AD57" s="312">
        <f t="shared" si="164"/>
        <v>0</v>
      </c>
      <c r="AE57" s="9">
        <f t="shared" ref="AE57:AP57" si="175">+AE19*$AD19*AE37</f>
        <v>0</v>
      </c>
      <c r="AF57" s="9">
        <f t="shared" si="175"/>
        <v>0</v>
      </c>
      <c r="AG57" s="9">
        <f t="shared" si="175"/>
        <v>0</v>
      </c>
      <c r="AH57" s="9">
        <f t="shared" si="175"/>
        <v>0</v>
      </c>
      <c r="AI57" s="9">
        <f t="shared" si="175"/>
        <v>0</v>
      </c>
      <c r="AJ57" s="9">
        <f t="shared" si="175"/>
        <v>0</v>
      </c>
      <c r="AK57" s="9">
        <f t="shared" si="175"/>
        <v>0</v>
      </c>
      <c r="AL57" s="9">
        <f t="shared" si="175"/>
        <v>0</v>
      </c>
      <c r="AM57" s="9">
        <f t="shared" si="175"/>
        <v>0</v>
      </c>
      <c r="AN57" s="9">
        <f t="shared" si="175"/>
        <v>0</v>
      </c>
      <c r="AO57" s="9">
        <f t="shared" si="175"/>
        <v>0</v>
      </c>
      <c r="AP57" s="9">
        <f t="shared" si="175"/>
        <v>0</v>
      </c>
      <c r="AQ57" s="312">
        <f t="shared" si="166"/>
        <v>0</v>
      </c>
    </row>
    <row r="58" spans="2:54" s="282" customFormat="1" collapsed="1">
      <c r="E58" s="311">
        <f>SUM(E43:E57)</f>
        <v>0</v>
      </c>
      <c r="F58" s="311">
        <f t="shared" ref="F58:P58" si="176">SUM(F43:F57)</f>
        <v>0</v>
      </c>
      <c r="G58" s="311">
        <f t="shared" si="176"/>
        <v>0</v>
      </c>
      <c r="H58" s="311">
        <f t="shared" si="176"/>
        <v>0</v>
      </c>
      <c r="I58" s="311">
        <f t="shared" si="176"/>
        <v>0</v>
      </c>
      <c r="J58" s="311">
        <f t="shared" si="176"/>
        <v>0</v>
      </c>
      <c r="K58" s="311">
        <f t="shared" si="176"/>
        <v>0</v>
      </c>
      <c r="L58" s="311">
        <f t="shared" si="176"/>
        <v>0</v>
      </c>
      <c r="M58" s="311">
        <f t="shared" si="176"/>
        <v>0</v>
      </c>
      <c r="N58" s="311">
        <f t="shared" si="176"/>
        <v>0</v>
      </c>
      <c r="O58" s="311">
        <f t="shared" si="176"/>
        <v>0</v>
      </c>
      <c r="P58" s="311">
        <f t="shared" si="176"/>
        <v>0</v>
      </c>
      <c r="Q58" s="312">
        <f>SUM(Q43:Q57)</f>
        <v>0</v>
      </c>
      <c r="R58" s="312">
        <f>SUM(R43:R57)</f>
        <v>0</v>
      </c>
      <c r="S58" s="312">
        <f t="shared" ref="S58:AQ58" si="177">SUM(S43:S57)</f>
        <v>0</v>
      </c>
      <c r="T58" s="312">
        <f t="shared" si="177"/>
        <v>0</v>
      </c>
      <c r="U58" s="312">
        <f t="shared" si="177"/>
        <v>0</v>
      </c>
      <c r="V58" s="312">
        <f t="shared" si="177"/>
        <v>0</v>
      </c>
      <c r="W58" s="312">
        <f t="shared" si="177"/>
        <v>0</v>
      </c>
      <c r="X58" s="312">
        <f t="shared" si="177"/>
        <v>0</v>
      </c>
      <c r="Y58" s="312">
        <f t="shared" si="177"/>
        <v>0</v>
      </c>
      <c r="Z58" s="312">
        <f t="shared" si="177"/>
        <v>0</v>
      </c>
      <c r="AA58" s="312">
        <f t="shared" si="177"/>
        <v>0</v>
      </c>
      <c r="AB58" s="312">
        <f t="shared" si="177"/>
        <v>0</v>
      </c>
      <c r="AC58" s="312">
        <f t="shared" si="177"/>
        <v>0</v>
      </c>
      <c r="AD58" s="312">
        <f t="shared" si="177"/>
        <v>0</v>
      </c>
      <c r="AE58" s="312">
        <f t="shared" si="177"/>
        <v>0</v>
      </c>
      <c r="AF58" s="312">
        <f t="shared" si="177"/>
        <v>0</v>
      </c>
      <c r="AG58" s="312">
        <f t="shared" si="177"/>
        <v>0</v>
      </c>
      <c r="AH58" s="312">
        <f t="shared" si="177"/>
        <v>0</v>
      </c>
      <c r="AI58" s="312">
        <f t="shared" si="177"/>
        <v>0</v>
      </c>
      <c r="AJ58" s="312">
        <f t="shared" si="177"/>
        <v>0</v>
      </c>
      <c r="AK58" s="312">
        <f t="shared" si="177"/>
        <v>0</v>
      </c>
      <c r="AL58" s="312">
        <f t="shared" si="177"/>
        <v>0</v>
      </c>
      <c r="AM58" s="312">
        <f t="shared" si="177"/>
        <v>0</v>
      </c>
      <c r="AN58" s="312">
        <f t="shared" si="177"/>
        <v>0</v>
      </c>
      <c r="AO58" s="312">
        <f t="shared" si="177"/>
        <v>0</v>
      </c>
      <c r="AP58" s="312">
        <f t="shared" si="177"/>
        <v>0</v>
      </c>
      <c r="AQ58" s="312">
        <f t="shared" si="177"/>
        <v>0</v>
      </c>
      <c r="AR58" s="312"/>
      <c r="AS58" s="312"/>
      <c r="AT58" s="312"/>
      <c r="AU58" s="312"/>
      <c r="AV58" s="312"/>
      <c r="AW58" s="312"/>
      <c r="AX58" s="312"/>
      <c r="AY58" s="312"/>
      <c r="AZ58" s="312"/>
      <c r="BA58" s="312"/>
      <c r="BB58" s="312"/>
    </row>
    <row r="59" spans="2:54">
      <c r="C59" s="280" t="s">
        <v>46</v>
      </c>
      <c r="K59" s="280" t="s">
        <v>46</v>
      </c>
      <c r="L59" s="280" t="s">
        <v>46</v>
      </c>
      <c r="Z59" s="282"/>
      <c r="AC59" s="280"/>
    </row>
    <row r="60" spans="2:54">
      <c r="Z60" s="282"/>
      <c r="AC60" s="280"/>
      <c r="BA60" s="280" t="s">
        <v>46</v>
      </c>
    </row>
    <row r="61" spans="2:54" ht="66.75" customHeight="1">
      <c r="B61" s="367" t="s">
        <v>310</v>
      </c>
      <c r="C61" s="1252">
        <f>+Cuestionario!E48</f>
        <v>0</v>
      </c>
      <c r="D61" s="1253"/>
      <c r="E61" s="1253"/>
      <c r="F61" s="1253"/>
      <c r="G61" s="1253"/>
      <c r="H61" s="1253"/>
      <c r="I61" s="1253"/>
      <c r="J61" s="1253"/>
      <c r="K61" s="1253"/>
      <c r="L61" s="1253"/>
      <c r="M61" s="1253"/>
      <c r="N61" s="1253"/>
      <c r="O61" s="1253"/>
      <c r="P61" s="1253"/>
      <c r="Q61" s="1253"/>
      <c r="R61" s="1253"/>
      <c r="S61" s="1253"/>
      <c r="T61" s="1253"/>
      <c r="U61" s="1253"/>
      <c r="V61" s="1253"/>
      <c r="W61" s="1253"/>
      <c r="X61" s="1253"/>
      <c r="Y61" s="1253"/>
      <c r="Z61" s="282"/>
      <c r="AC61" s="280"/>
    </row>
    <row r="62" spans="2:54">
      <c r="Z62" s="282"/>
      <c r="AC62" s="280"/>
    </row>
    <row r="63" spans="2:54" ht="15">
      <c r="D63" s="280" t="s">
        <v>46</v>
      </c>
      <c r="AC63" s="280"/>
    </row>
    <row r="64" spans="2:54" ht="15">
      <c r="AC64" s="280"/>
    </row>
    <row r="65" spans="29:29" ht="15">
      <c r="AC65" s="280"/>
    </row>
    <row r="66" spans="29:29" ht="15">
      <c r="AC66" s="280"/>
    </row>
    <row r="67" spans="29:29" ht="15">
      <c r="AC67" s="280"/>
    </row>
    <row r="68" spans="29:29" ht="15">
      <c r="AC68" s="280"/>
    </row>
    <row r="69" spans="29:29" ht="15">
      <c r="AC69" s="280"/>
    </row>
    <row r="70" spans="29:29" ht="15">
      <c r="AC70" s="280"/>
    </row>
    <row r="71" spans="29:29" ht="15">
      <c r="AC71" s="280"/>
    </row>
    <row r="72" spans="29:29" ht="15">
      <c r="AC72" s="280"/>
    </row>
    <row r="73" spans="29:29" ht="15">
      <c r="AC73" s="280"/>
    </row>
    <row r="74" spans="29:29" ht="15">
      <c r="AC74" s="280"/>
    </row>
    <row r="75" spans="29:29" ht="15">
      <c r="AC75" s="280"/>
    </row>
    <row r="76" spans="29:29" ht="15">
      <c r="AC76" s="280"/>
    </row>
    <row r="77" spans="29:29" ht="15">
      <c r="AC77" s="280"/>
    </row>
    <row r="78" spans="29:29" ht="15">
      <c r="AC78" s="280"/>
    </row>
    <row r="79" spans="29:29" ht="15">
      <c r="AC79" s="280"/>
    </row>
    <row r="80" spans="29:29" ht="15">
      <c r="AC80" s="280"/>
    </row>
  </sheetData>
  <sheetProtection sheet="1" objects="1" scenarios="1"/>
  <mergeCells count="14">
    <mergeCell ref="AE41:AQ41"/>
    <mergeCell ref="C61:Y61"/>
    <mergeCell ref="R3:AC3"/>
    <mergeCell ref="D40:D42"/>
    <mergeCell ref="E3:P3"/>
    <mergeCell ref="E41:Q41"/>
    <mergeCell ref="R41:AD41"/>
    <mergeCell ref="AE3:AP3"/>
    <mergeCell ref="B3:C3"/>
    <mergeCell ref="B41:C41"/>
    <mergeCell ref="B21:C21"/>
    <mergeCell ref="E21:P21"/>
    <mergeCell ref="R21:AC21"/>
    <mergeCell ref="AE21:AP21"/>
  </mergeCells>
  <conditionalFormatting sqref="H1">
    <cfRule type="cellIs" dxfId="482" priority="13" operator="greaterThan">
      <formula>0</formula>
    </cfRule>
    <cfRule type="cellIs" dxfId="481" priority="14" operator="lessThan">
      <formula>0</formula>
    </cfRule>
  </conditionalFormatting>
  <conditionalFormatting sqref="J1">
    <cfRule type="cellIs" dxfId="480" priority="9" operator="greaterThan">
      <formula>0</formula>
    </cfRule>
    <cfRule type="cellIs" dxfId="479" priority="10" operator="lessThan">
      <formula>0</formula>
    </cfRule>
  </conditionalFormatting>
  <conditionalFormatting sqref="F1">
    <cfRule type="cellIs" dxfId="478" priority="5" operator="greaterThan">
      <formula>0</formula>
    </cfRule>
    <cfRule type="cellIs" dxfId="477" priority="6" operator="lessThan">
      <formula>0</formula>
    </cfRule>
  </conditionalFormatting>
  <conditionalFormatting sqref="N1">
    <cfRule type="cellIs" dxfId="476" priority="3" operator="greaterThan">
      <formula>0</formula>
    </cfRule>
    <cfRule type="cellIs" dxfId="475" priority="4" operator="lessThan">
      <formula>0</formula>
    </cfRule>
  </conditionalFormatting>
  <conditionalFormatting sqref="L1">
    <cfRule type="cellIs" dxfId="474" priority="1" operator="greaterThan">
      <formula>0</formula>
    </cfRule>
    <cfRule type="cellIs" dxfId="473" priority="2" operator="lessThan">
      <formula>0</formula>
    </cfRule>
  </conditionalFormatting>
  <dataValidations count="1">
    <dataValidation allowBlank="1" showInputMessage="1" showErrorMessage="1" prompt="Cuantifique  las ventas previstas para el primer año y explique con detalle en qué se basa." sqref="C61:Y61" xr:uid="{00000000-0002-0000-0700-000000000000}"/>
  </dataValidations>
  <pageMargins left="0.7" right="0.7" top="0.75" bottom="0.75" header="0.3" footer="0.3"/>
  <pageSetup paperSize="9" scale="53" orientation="portrait" r:id="rId1"/>
  <colBreaks count="1" manualBreakCount="1">
    <brk id="29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19</vt:i4>
      </vt:variant>
    </vt:vector>
  </HeadingPairs>
  <TitlesOfParts>
    <vt:vector size="57" baseType="lpstr">
      <vt:lpstr>Menú</vt:lpstr>
      <vt:lpstr>Cuestionario</vt:lpstr>
      <vt:lpstr>Estaciones SP</vt:lpstr>
      <vt:lpstr>Inversión-Financiación</vt:lpstr>
      <vt:lpstr>Catálogo</vt:lpstr>
      <vt:lpstr>Personal retribución</vt:lpstr>
      <vt:lpstr>Clientes</vt:lpstr>
      <vt:lpstr>Otros Gastos</vt:lpstr>
      <vt:lpstr>Ventas</vt:lpstr>
      <vt:lpstr>INGRESOS-GASTOS</vt:lpstr>
      <vt:lpstr>Total préstamos</vt:lpstr>
      <vt:lpstr>IRPF-IVA-IS</vt:lpstr>
      <vt:lpstr>Ventas diarias</vt:lpstr>
      <vt:lpstr>Balance</vt:lpstr>
      <vt:lpstr>AMORTIZACIÓN-BALANCE</vt:lpstr>
      <vt:lpstr>Resultado x Actividad</vt:lpstr>
      <vt:lpstr>Resultados</vt:lpstr>
      <vt:lpstr>Resultados mensuales </vt:lpstr>
      <vt:lpstr>Tesorería mensual</vt:lpstr>
      <vt:lpstr>Resumen nuevo proyecto</vt:lpstr>
      <vt:lpstr>Resumen seguimiento</vt:lpstr>
      <vt:lpstr>Plan Empresa</vt:lpstr>
      <vt:lpstr>Valoració</vt:lpstr>
      <vt:lpstr>Ventas por comercial</vt:lpstr>
      <vt:lpstr>Tabla préstamo inicial</vt:lpstr>
      <vt:lpstr>Total préstamo post</vt:lpstr>
      <vt:lpstr>DATOS</vt:lpstr>
      <vt:lpstr>Seguimiento</vt:lpstr>
      <vt:lpstr>Plan de Trabajo</vt:lpstr>
      <vt:lpstr>Buenas y malas prácticas</vt:lpstr>
      <vt:lpstr>Infografia</vt:lpstr>
      <vt:lpstr>Captación clientes</vt:lpstr>
      <vt:lpstr>One Pager</vt:lpstr>
      <vt:lpstr>Funnel</vt:lpstr>
      <vt:lpstr>Itinerario startups</vt:lpstr>
      <vt:lpstr>Comparación de segmentos</vt:lpstr>
      <vt:lpstr>Cuadro de posicionamiento</vt:lpstr>
      <vt:lpstr>Plan de mk</vt:lpstr>
      <vt:lpstr>Catálogo!Área_de_impresión</vt:lpstr>
      <vt:lpstr>Clientes!Área_de_impresión</vt:lpstr>
      <vt:lpstr>Cuestionario!Área_de_impresión</vt:lpstr>
      <vt:lpstr>Funnel!Área_de_impresión</vt:lpstr>
      <vt:lpstr>Infografia!Área_de_impresión</vt:lpstr>
      <vt:lpstr>'Inversión-Financiación'!Área_de_impresión</vt:lpstr>
      <vt:lpstr>Menú!Área_de_impresión</vt:lpstr>
      <vt:lpstr>'Plan de Trabajo'!Área_de_impresión</vt:lpstr>
      <vt:lpstr>'Plan Empresa'!Área_de_impresión</vt:lpstr>
      <vt:lpstr>'Resultado x Actividad'!Área_de_impresión</vt:lpstr>
      <vt:lpstr>Resultados!Área_de_impresión</vt:lpstr>
      <vt:lpstr>'Resultados mensuales '!Área_de_impresión</vt:lpstr>
      <vt:lpstr>'Resumen nuevo proyecto'!Área_de_impresión</vt:lpstr>
      <vt:lpstr>'Resumen seguimiento'!Área_de_impresión</vt:lpstr>
      <vt:lpstr>'Tesorería mensual'!Área_de_impresión</vt:lpstr>
      <vt:lpstr>Valoració!Área_de_impresión</vt:lpstr>
      <vt:lpstr>Ventas!Área_de_impresión</vt:lpstr>
      <vt:lpstr>'Ventas diarias'!Área_de_impresión</vt:lpstr>
      <vt:lpstr>'Plan Empresa'!OLE_LINK2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Jordi Martinez</dc:creator>
  <cp:lastModifiedBy>Jordi Martinez</cp:lastModifiedBy>
  <cp:lastPrinted>2021-04-15T12:26:30Z</cp:lastPrinted>
  <dcterms:created xsi:type="dcterms:W3CDTF">2016-05-02T15:51:06Z</dcterms:created>
  <dcterms:modified xsi:type="dcterms:W3CDTF">2021-04-23T11:20:30Z</dcterms:modified>
</cp:coreProperties>
</file>